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1092"/>
  <sheetViews>
    <sheetView workbookViewId="0">
      <selection activeCell="A1" sqref="A1"/>
    </sheetView>
  </sheetViews>
  <sheetFormatPr baseColWidth="8" defaultRowHeight="15"/>
  <sheetData>
    <row r="1">
      <c r="A1" s="1" t="inlineStr">
        <is>
          <t>FBbt_ID</t>
        </is>
      </c>
      <c r="B1" s="1" t="inlineStr">
        <is>
          <t>Name</t>
        </is>
      </c>
      <c r="C1" s="1" t="inlineStr">
        <is>
          <t>Synonyms</t>
        </is>
      </c>
      <c r="D1" s="1" t="inlineStr">
        <is>
          <t>Definition</t>
        </is>
      </c>
      <c r="E1" s="1" t="inlineStr">
        <is>
          <t>References</t>
        </is>
      </c>
      <c r="F1" s="1" t="inlineStr">
        <is>
          <t>Review_notes</t>
        </is>
      </c>
      <c r="G1" s="1" t="inlineStr">
        <is>
          <t>Suggested_markers</t>
        </is>
      </c>
      <c r="H1" s="1" t="inlineStr">
        <is>
          <t>Abundance</t>
        </is>
      </c>
    </row>
    <row r="2">
      <c r="A2">
        <f>HYPERLINK("https://www.ebi.ac.uk/ols/ontologies/fbbt/terms?iri=http://purl.obolibrary.org/obo/FBbt_00050239","FBbt:00050239")</f>
        <v/>
      </c>
      <c r="B2" t="inlineStr">
        <is>
          <t>adult SLPav2 lineage neuron</t>
        </is>
      </c>
      <c r="C2" t="inlineStr">
        <is>
          <t>None</t>
        </is>
      </c>
      <c r="D2" t="inlineStr">
        <is>
          <t>Any neuron (FBbt:00005106) that is part of some adult brain (FBbt:00003624) and that develops from some neuroblast SLPav2 (FBbt:00050237).</t>
        </is>
      </c>
      <c r="E2" t="inlineStr">
        <is>
          <t>Yu et al., 2013, Curr. Biol. 23(8): 633--643 (flybase.org/reports/FBrf0221412); Ito et al., 2013, Curr. Biol. 23(8): 644--655 (flybase.org/reports/FBrf0221438)</t>
        </is>
      </c>
      <c r="F2" t="inlineStr"/>
      <c r="G2" t="inlineStr"/>
      <c r="H2" t="inlineStr"/>
    </row>
    <row r="3">
      <c r="A3">
        <f>HYPERLINK("https://www.ebi.ac.uk/ols/ontologies/fbbt/terms?iri=http://purl.obolibrary.org/obo/FBbt_00110634","FBbt:00110634")</f>
        <v/>
      </c>
      <c r="B3" t="inlineStr">
        <is>
          <t>antennal mechanosensory and motor center AMMC-VLP7 projection neuron</t>
        </is>
      </c>
      <c r="C3" t="inlineStr">
        <is>
          <t>GABAergic aLN(GCI); AMMC-VLP PN</t>
        </is>
      </c>
      <c r="D3" t="inlineStr">
        <is>
          <t>Projection neuron that innervates the ipsilateral zone A of the antennal mechanosensory and motor center (AMMC) and projects to the contralateral ventrolateral protocerebrum. These axonal terminals are not arborized (Lai et al., 2012).</t>
        </is>
      </c>
      <c r="E3" t="inlineStr">
        <is>
          <t>Lai et al., 2012, Proc. Natl. Acad. Sci. U.S.A. 109(7): 2607--2612 (flybase.org/reports/FBrf0217491); Vaughan et al., 2014, Curr. Biol. 24(10): 1039--1049 (flybase.org/reports/FBrf0225096)</t>
        </is>
      </c>
      <c r="F3" t="inlineStr"/>
      <c r="G3" t="inlineStr"/>
      <c r="H3" t="inlineStr"/>
    </row>
    <row r="4">
      <c r="A4">
        <f>HYPERLINK("https://www.ebi.ac.uk/ols/ontologies/fbbt/terms?iri=http://purl.obolibrary.org/obo/FBbt_00110385","FBbt:00110385")</f>
        <v/>
      </c>
      <c r="B4" t="inlineStr">
        <is>
          <t>adult VPNd2 lineage neuron</t>
        </is>
      </c>
      <c r="C4" t="inlineStr">
        <is>
          <t>None</t>
        </is>
      </c>
      <c r="D4" t="inlineStr">
        <is>
          <t>Any neuron (FBbt:00005106) that is part of some adult brain (FBbt:00003624) and that develops from some neuroblast VPNd2 (FBbt:00110383).</t>
        </is>
      </c>
      <c r="E4" t="inlineStr">
        <is>
          <t>Ito et al., 2013, Curr. Biol. 23(8): 644--655 (flybase.org/reports/FBrf0221438)</t>
        </is>
      </c>
      <c r="F4" t="inlineStr"/>
      <c r="G4" t="inlineStr"/>
      <c r="H4" t="inlineStr"/>
    </row>
    <row r="5">
      <c r="A5">
        <f>HYPERLINK("https://www.ebi.ac.uk/ols/ontologies/fbbt/terms?iri=http://purl.obolibrary.org/obo/FBbt_00048241","FBbt:00048241")</f>
        <v/>
      </c>
      <c r="B5" t="inlineStr">
        <is>
          <t>mushroom body calyx-pedunculus arborizing neuron 2</t>
        </is>
      </c>
      <c r="C5" t="inlineStr">
        <is>
          <t>mushroom body calyx pedunculus 2; MB-CP2</t>
        </is>
      </c>
      <c r="D5" t="inlineStr">
        <is>
          <t>Adult mushroom body input neuron that arborizes in multiple regions of the mushroom body. It receives input in the posterior lateral protocerebrum, superior clamp, antler, superior medial protocerebrum, superior intermediate protocerebrum and mushroom body pedunculus and it has mixed input and output in the mushroom body calyx and (dorsal) accessory calyx, lateral horn and superior lateral protocerebrum. Based on its input regions, it is thought to convey multimodal sensory information and it is presynaptic to a range of Kenyon cell subtypes.</t>
        </is>
      </c>
      <c r="E5" t="inlineStr">
        <is>
          <t>Zheng et al., 2018, Cell 174(3): 730--743.e22 (flybase.org/reports/FBrf0239557)</t>
        </is>
      </c>
      <c r="F5" t="inlineStr"/>
      <c r="G5" t="inlineStr"/>
      <c r="H5" t="inlineStr"/>
    </row>
    <row r="6">
      <c r="A6">
        <f>HYPERLINK("https://www.ebi.ac.uk/ols/ontologies/fbbt/terms?iri=http://purl.obolibrary.org/obo/FBbt_00100481","FBbt:00100481")</f>
        <v/>
      </c>
      <c r="B6" t="inlineStr">
        <is>
          <t>adult antennal lobe projection neuron VM3 adPN</t>
        </is>
      </c>
      <c r="C6" t="inlineStr">
        <is>
          <t>VM3 adPN</t>
        </is>
      </c>
      <c r="D6" t="inlineStr">
        <is>
          <t>Antennal lobe projection neuron from the ad neuroblast lineage (embryonic born) whose dendrites innervate only antennal lobe glomerulus VM3. Neurons of this class are born during the 17th and 19th divisions of the neuroblast ALad1 (FBbt:00067346) during embryogenesis (Yu et al., 2010).</t>
        </is>
      </c>
      <c r="E6" t="inlineStr">
        <is>
          <t>Marin et al., 2005, Development 132(4): 725--737 (flybase.org/reports/FBrf0183938); Yu et al., 2010, PLoS Biol. 8(8): (flybase.org/reports/FBrf0211729)</t>
        </is>
      </c>
      <c r="F6" t="inlineStr"/>
      <c r="G6" t="inlineStr"/>
      <c r="H6" t="inlineStr"/>
    </row>
    <row r="7">
      <c r="A7">
        <f>HYPERLINK("https://www.ebi.ac.uk/ols/ontologies/fbbt/terms?iri=http://purl.obolibrary.org/obo/FBbt_00110633","FBbt:00110633")</f>
        <v/>
      </c>
      <c r="B7" t="inlineStr">
        <is>
          <t>antennal mechanosensory and motor center AMMC-IVLP projection neuron 2</t>
        </is>
      </c>
      <c r="C7" t="inlineStr">
        <is>
          <t>AMMC-IVLP PN2; aLN(PCI); AMMC local neuron (posterior commissural)</t>
        </is>
      </c>
      <c r="D7" t="inlineStr">
        <is>
          <t>Projection neuron that innervates the ipsilateral zones A of the antennal mechanosensory and motor center (AMMC) and projects to the contralateral inferior ventrolateral protocerebrum. A small dorsal branch distinguishes this neuron class from AMMC-IVLP PN1 (Lai et al., 2012).</t>
        </is>
      </c>
      <c r="E7" t="inlineStr">
        <is>
          <t>Lai et al., 2012, Proc. Natl. Acad. Sci. U.S.A. 109(7): 2607--2612 (flybase.org/reports/FBrf0217491); Vaughan et al., 2014, Curr. Biol. 24(10): 1039--1049 (flybase.org/reports/FBrf0225096)</t>
        </is>
      </c>
      <c r="F7" t="inlineStr"/>
      <c r="G7" t="inlineStr"/>
      <c r="H7" t="inlineStr"/>
    </row>
    <row r="8">
      <c r="A8">
        <f>HYPERLINK("https://www.ebi.ac.uk/ols/ontologies/fbbt/terms?iri=http://purl.obolibrary.org/obo/FBbt_00050236","FBbt:00050236")</f>
        <v/>
      </c>
      <c r="B8" t="inlineStr">
        <is>
          <t>adult SLPp&amp;v1 lineage neuron</t>
        </is>
      </c>
      <c r="C8" t="inlineStr">
        <is>
          <t>adult SLPp_v1 lineage neuron</t>
        </is>
      </c>
      <c r="D8" t="inlineStr">
        <is>
          <t>Any neuron (FBbt:00005106) that is part of some adult brain (FBbt:00003624) and that develops from some neuroblast SLPp&amp;v1 (FBbt:00050234).</t>
        </is>
      </c>
      <c r="E8" t="inlineStr">
        <is>
          <t>Yu et al., 2013, Curr. Biol. 23(8): 633--643 (flybase.org/reports/FBrf0221412); Ito et al., 2013, Curr. Biol. 23(8): 644--655 (flybase.org/reports/FBrf0221438)</t>
        </is>
      </c>
      <c r="F8" t="inlineStr"/>
      <c r="G8" t="inlineStr"/>
      <c r="H8" t="inlineStr"/>
    </row>
    <row r="9">
      <c r="A9">
        <f>HYPERLINK("https://www.ebi.ac.uk/ols/ontologies/fbbt/terms?iri=http://purl.obolibrary.org/obo/FBbt_00050233","FBbt:00050233")</f>
        <v/>
      </c>
      <c r="B9" t="inlineStr">
        <is>
          <t>adult VLPd1 lineage neuron</t>
        </is>
      </c>
      <c r="C9" t="inlineStr">
        <is>
          <t>None</t>
        </is>
      </c>
      <c r="D9" t="inlineStr">
        <is>
          <t>Any neuron (FBbt:00005106) that is part of some adult brain (FBbt:00003624) and that develops from some neuroblast VLPd1 (FBbt:00050231).</t>
        </is>
      </c>
      <c r="E9" t="inlineStr">
        <is>
          <t>Yu et al., 2013, Curr. Biol. 23(8): 633--643 (flybase.org/reports/FBrf0221412); Ito et al., 2013, Curr. Biol. 23(8): 644--655 (flybase.org/reports/FBrf0221438)</t>
        </is>
      </c>
      <c r="F9" t="inlineStr"/>
      <c r="G9" t="inlineStr"/>
      <c r="H9" t="inlineStr"/>
    </row>
    <row r="10">
      <c r="A10">
        <f>HYPERLINK("https://www.ebi.ac.uk/ols/ontologies/fbbt/terms?iri=http://purl.obolibrary.org/obo/FBbt_00110388","FBbt:00110388")</f>
        <v/>
      </c>
      <c r="B10" t="inlineStr">
        <is>
          <t>adult VPNd3 lineage neuron</t>
        </is>
      </c>
      <c r="C10" t="inlineStr">
        <is>
          <t>None</t>
        </is>
      </c>
      <c r="D10" t="inlineStr">
        <is>
          <t>Any neuron (FBbt:00005106) that is part of some adult brain (FBbt:00003624) and that develops from some neuroblast VPNd3 (FBbt:00110386).</t>
        </is>
      </c>
      <c r="E10" t="inlineStr">
        <is>
          <t>Ito et al., 2013, Curr. Biol. 23(8): 644--655 (flybase.org/reports/FBrf0221438)</t>
        </is>
      </c>
      <c r="F10" t="inlineStr"/>
      <c r="G10" t="inlineStr"/>
      <c r="H10" t="inlineStr"/>
    </row>
    <row r="11">
      <c r="A11">
        <f>HYPERLINK("https://www.ebi.ac.uk/ols/ontologies/fbbt/terms?iri=http://purl.obolibrary.org/obo/FBbt_00110045","FBbt:00110045")</f>
        <v/>
      </c>
      <c r="B11" t="inlineStr">
        <is>
          <t>adult protocerebral MPP Tachykinin neuron</t>
        </is>
      </c>
      <c r="C11" t="inlineStr">
        <is>
          <t>adult MPP neuron; median posterior protocerebral MPP tachykinin neuron</t>
        </is>
      </c>
      <c r="D11" t="inlineStr">
        <is>
          <t>Adult neuron that expresses Tachykinin (FBgn0037976) and whose cell body is located in the median posterior protocerebrum. One cluster of around 3 cell bodies is found per hemisphere (Winther et al., 2003).</t>
        </is>
      </c>
      <c r="E11" t="inlineStr">
        <is>
          <t>Winther et al., 2003, J. Comp. Neurol. 464(2): 180--196 (flybase.org/reports/FBrf0162212)</t>
        </is>
      </c>
      <c r="F11" t="inlineStr"/>
      <c r="G11" t="inlineStr"/>
      <c r="H11" t="inlineStr"/>
    </row>
    <row r="12">
      <c r="A12">
        <f>HYPERLINK("https://www.ebi.ac.uk/ols/ontologies/fbbt/terms?iri=http://purl.obolibrary.org/obo/FBbt_00050186","FBbt:00050186")</f>
        <v/>
      </c>
      <c r="B12" t="inlineStr">
        <is>
          <t>adult DL1 lineage neuron</t>
        </is>
      </c>
      <c r="C12" t="inlineStr">
        <is>
          <t>None</t>
        </is>
      </c>
      <c r="D12" t="inlineStr">
        <is>
          <t>Any neuron (FBbt:00005106) that is part of some adult brain (FBbt:00003624) and that develops from some neuroblast DL1 (FBbt:00050184).</t>
        </is>
      </c>
      <c r="E12" t="inlineStr">
        <is>
          <t>Yu et al., 2013, Curr. Biol. 23(8): 633--643 (flybase.org/reports/FBrf0221412); Ito et al., 2013, Curr. Biol. 23(8): 644--655 (flybase.org/reports/FBrf0221438)</t>
        </is>
      </c>
      <c r="F12" t="inlineStr"/>
      <c r="G12" t="inlineStr"/>
      <c r="H12" t="inlineStr"/>
    </row>
    <row r="13">
      <c r="A13">
        <f>HYPERLINK("https://www.ebi.ac.uk/ols/ontologies/fbbt/terms?iri=http://purl.obolibrary.org/obo/FBbt_00050040","FBbt:00050040")</f>
        <v/>
      </c>
      <c r="B13" t="inlineStr">
        <is>
          <t>adult ALlv1 lineage neuron</t>
        </is>
      </c>
      <c r="C13" t="inlineStr">
        <is>
          <t>adult BAlp4 lineage neuron</t>
        </is>
      </c>
      <c r="D13" t="inlineStr">
        <is>
          <t>Any neuron (FBbt:00005106) that is part of some adult brain (FBbt:00003624) and that develops from some neuroblast ALlv1 (FBbt:00050038).</t>
        </is>
      </c>
      <c r="E13" t="inlineStr">
        <is>
          <t>Yu et al., 2013, Curr. Biol. 23(8): 633--643 (flybase.org/reports/FBrf0221412); Ito et al., 2013, Curr. Biol. 23(8): 644--655 (flybase.org/reports/FBrf0221438)</t>
        </is>
      </c>
      <c r="F13" t="inlineStr"/>
      <c r="G13" t="inlineStr"/>
      <c r="H13" t="inlineStr"/>
    </row>
    <row r="14">
      <c r="A14">
        <f>HYPERLINK("https://www.ebi.ac.uk/ols/ontologies/fbbt/terms?iri=http://purl.obolibrary.org/obo/FBbt_00110044","FBbt:00110044")</f>
        <v/>
      </c>
      <c r="B14" t="inlineStr">
        <is>
          <t>adult protocerebral LPP1 Tachykinin neuron</t>
        </is>
      </c>
      <c r="C14" t="inlineStr">
        <is>
          <t>adult LPP1 neuron; posterior protocerebral LPP1 tachykinin neuron</t>
        </is>
      </c>
      <c r="D14" t="inlineStr">
        <is>
          <t>Adult neuron that expresses Tachykinin (FBgn0037976) and whose cell body is located in the posterior protocerebrum. One cluster of around 12 cell bodies is found per hemisphere (Winther et al., 2003).</t>
        </is>
      </c>
      <c r="E14" t="inlineStr">
        <is>
          <t>Winther et al., 2003, J. Comp. Neurol. 464(2): 180--196 (flybase.org/reports/FBrf0162212)</t>
        </is>
      </c>
      <c r="F14" t="inlineStr"/>
      <c r="G14" t="inlineStr"/>
      <c r="H14" t="inlineStr"/>
    </row>
    <row r="15">
      <c r="A15">
        <f>HYPERLINK("https://www.ebi.ac.uk/ols/ontologies/fbbt/terms?iri=http://purl.obolibrary.org/obo/FBbt_00111361","FBbt:00111361")</f>
        <v/>
      </c>
      <c r="B15" t="inlineStr">
        <is>
          <t>ventrolateral protocerebrum local VLP1 neuron</t>
        </is>
      </c>
      <c r="C15" t="inlineStr">
        <is>
          <t>VLP1 neuron; V1 neuron</t>
        </is>
      </c>
      <c r="D15" t="inlineStr">
        <is>
          <t>Neuron whose cell body is located posteriorly to the ventrolateral protocerebrum (VLP). The primary neurite innervates the ipsilateral posterior VLP region.</t>
        </is>
      </c>
      <c r="E15" t="inlineStr">
        <is>
          <t>Clemens et al., 2015, Neuron 87(6): 1332--1343 (flybase.org/reports/FBrf0229690)</t>
        </is>
      </c>
      <c r="F15" t="inlineStr"/>
      <c r="G15" t="inlineStr"/>
      <c r="H15" t="inlineStr"/>
    </row>
    <row r="16">
      <c r="A16">
        <f>HYPERLINK("https://www.ebi.ac.uk/ols/ontologies/fbbt/terms?iri=http://purl.obolibrary.org/obo/FBbt_00050183","FBbt:00050183")</f>
        <v/>
      </c>
      <c r="B16" t="inlineStr">
        <is>
          <t>adult AOTUv2 lineage neuron</t>
        </is>
      </c>
      <c r="C16" t="inlineStr">
        <is>
          <t>None</t>
        </is>
      </c>
      <c r="D16" t="inlineStr">
        <is>
          <t>Any neuron (FBbt:00005106) that is part of some adult brain (FBbt:00003624) and that develops from some neuroblast AOTUv2 (FBbt:00050181).</t>
        </is>
      </c>
      <c r="E16" t="inlineStr">
        <is>
          <t>Yu et al., 2013, Curr. Biol. 23(8): 633--643 (flybase.org/reports/FBrf0221412); Ito et al., 2013, Curr. Biol. 23(8): 644--655 (flybase.org/reports/FBrf0221438)</t>
        </is>
      </c>
      <c r="F16" t="inlineStr"/>
      <c r="G16" t="inlineStr"/>
      <c r="H16" t="inlineStr"/>
    </row>
    <row r="17">
      <c r="A17">
        <f>HYPERLINK("https://www.ebi.ac.uk/ols/ontologies/fbbt/terms?iri=http://purl.obolibrary.org/obo/FBbt_00110043","FBbt:00110043")</f>
        <v/>
      </c>
      <c r="B17" t="inlineStr">
        <is>
          <t>adult protocerebral LPP2 Tachykinin neuron</t>
        </is>
      </c>
      <c r="C17" t="inlineStr">
        <is>
          <t>lateral posterior protocerebral LPP2 tachykinin neuron; adult LPP2 neuron</t>
        </is>
      </c>
      <c r="D17" t="inlineStr">
        <is>
          <t>Adult neuron that expresses Tachykinin (FBgn0037976), whose cell body is located in the lateral posterior protocerebrum and that innervates the superior median protocerebrum and the fan-shaped body. One cluster of around 10 cell bodies is found per hemisphere (Winther et al., 2003).</t>
        </is>
      </c>
      <c r="E17" t="inlineStr">
        <is>
          <t>Winther et al., 2003, J. Comp. Neurol. 464(2): 180--196 (flybase.org/reports/FBrf0162212)</t>
        </is>
      </c>
      <c r="F17" t="inlineStr"/>
      <c r="G17" t="inlineStr"/>
      <c r="H17" t="inlineStr"/>
    </row>
    <row r="18">
      <c r="A18">
        <f>HYPERLINK("https://www.ebi.ac.uk/ols/ontologies/fbbt/terms?iri=http://purl.obolibrary.org/obo/FBbt_00111360","FBbt:00111360")</f>
        <v/>
      </c>
      <c r="B18" t="inlineStr">
        <is>
          <t>intrinsic ventrolateral protocerebrum neuron</t>
        </is>
      </c>
      <c r="C18" t="inlineStr">
        <is>
          <t>intrinsic VLP neuron; VLP LN</t>
        </is>
      </c>
      <c r="D18" t="inlineStr">
        <is>
          <t>Neuron that innervates the ventrolateral protocerebrum region only.</t>
        </is>
      </c>
      <c r="E18" t="inlineStr"/>
      <c r="F18" t="inlineStr"/>
      <c r="G18" t="inlineStr"/>
      <c r="H18" t="inlineStr"/>
    </row>
    <row r="19">
      <c r="A19">
        <f>HYPERLINK("https://www.ebi.ac.uk/ols/ontologies/fbbt/terms?iri=http://purl.obolibrary.org/obo/FBbt_00047312","FBbt:00047312")</f>
        <v/>
      </c>
      <c r="B19" t="inlineStr">
        <is>
          <t>adult uniglomerular antennal lobe projection neuron lPN</t>
        </is>
      </c>
      <c r="C19" t="inlineStr">
        <is>
          <t>adult uniglomerular lateral antennal lobe projection neuron; adult uniglomerular lPN; adult uniglomerular lAL PN</t>
        </is>
      </c>
      <c r="D19" t="inlineStr">
        <is>
          <t>An adult uniglomerular antennal lobe projection neuron that is derived from the neuroblast ALl1 (FBbt:00067347). Most of these neurons have axons that fasciculate with the medial antennal lobe tract (mALT) and innervate the mushroom body calyx (via a collateral) and the lateral horn.</t>
        </is>
      </c>
      <c r="E19" t="inlineStr">
        <is>
          <t>Jefferis et al., 2001, Nature 414(6860): 204--208 (flybase.org/reports/FBrf0141667); Marin et al., 2002, Cell 109(2): 243--255 (flybase.org/reports/FBrf0146917); Lai et al., 2008, Development 135(17): 2883--2893 (flybase.org/reports/FBrf0205814); Yu et al., 2010, PLoS Biol. 8(8): (flybase.org/reports/FBrf0211729); Lin et al., 2013, Science 340(6138): 1338--1341 (flybase.org/reports/FBrf0221835)</t>
        </is>
      </c>
      <c r="F19" t="inlineStr"/>
      <c r="G19" t="inlineStr"/>
      <c r="H19" t="inlineStr"/>
    </row>
    <row r="20">
      <c r="A20">
        <f>HYPERLINK("https://www.ebi.ac.uk/ols/ontologies/fbbt/terms?iri=http://purl.obolibrary.org/obo/FBbt_00110632","FBbt:00110632")</f>
        <v/>
      </c>
      <c r="B20" t="inlineStr">
        <is>
          <t>antennal mechanosensory and motor center AMMC-IVLP projection neuron 1</t>
        </is>
      </c>
      <c r="C20" t="inlineStr">
        <is>
          <t>AMMC projection neuron 1; AMMC-IVLP PN1; aPN1c neuron</t>
        </is>
      </c>
      <c r="D20" t="inlineStr">
        <is>
          <t>Projection neuron that innervates the ipsilateral antennal mechanosensory and motor center (AMMC) zone B and the projects to the contralateral inferior ventrolateral protocerebrum (Lai et al., 2012).</t>
        </is>
      </c>
      <c r="E20" t="inlineStr">
        <is>
          <t>Lai et al., 2012, Proc. Natl. Acad. Sci. U.S.A. 109(7): 2607--2612 (flybase.org/reports/FBrf0217491); Vaughan et al., 2014, Curr. Biol. 24(10): 1039--1049 (flybase.org/reports/FBrf0225096)</t>
        </is>
      </c>
      <c r="F20" t="inlineStr"/>
      <c r="G20" t="inlineStr"/>
      <c r="H20" t="inlineStr"/>
    </row>
    <row r="21">
      <c r="A21">
        <f>HYPERLINK("https://www.ebi.ac.uk/ols/ontologies/fbbt/terms?iri=http://purl.obolibrary.org/obo/FBbt_00007514","FBbt:00007514")</f>
        <v/>
      </c>
      <c r="B21" t="inlineStr">
        <is>
          <t>small field neuron of the central complex</t>
        </is>
      </c>
      <c r="C21" t="inlineStr">
        <is>
          <t>None</t>
        </is>
      </c>
      <c r="D21" t="inlineStr">
        <is>
          <t>A small field neuron that innervates the central complex. The majority of small field neurons of the central complex are intrinsic to it, and they typically connect one central complex domain to another. Some also connect subdomains within a single central complex domain.</t>
        </is>
      </c>
      <c r="E21" t="inlineStr">
        <is>
          <t>Hanesch et al., 1989, Cell Tissue Res. 257(2): 343--366 (flybase.org/reports/FBrf0049409)</t>
        </is>
      </c>
      <c r="F21" t="inlineStr"/>
      <c r="G21" t="inlineStr"/>
      <c r="H21" t="inlineStr"/>
    </row>
    <row r="22">
      <c r="A22">
        <f>HYPERLINK("https://www.ebi.ac.uk/ols/ontologies/fbbt/terms?iri=http://purl.obolibrary.org/obo/FBbt_00110382","FBbt:00110382")</f>
        <v/>
      </c>
      <c r="B22" t="inlineStr">
        <is>
          <t>adult VLPl3 lineage neuron</t>
        </is>
      </c>
      <c r="C22" t="inlineStr">
        <is>
          <t>None</t>
        </is>
      </c>
      <c r="D22" t="inlineStr">
        <is>
          <t>Any neuron (FBbt:00005106) that is part of some adult brain (FBbt:00003624) and that develops from some neuroblast VLPl3 (FBbt:00110380).</t>
        </is>
      </c>
      <c r="E22" t="inlineStr">
        <is>
          <t>Ito et al., 2013, Curr. Biol. 23(8): 644--655 (flybase.org/reports/FBrf0221438)</t>
        </is>
      </c>
      <c r="F22" t="inlineStr"/>
      <c r="G22" t="inlineStr"/>
      <c r="H22" t="inlineStr"/>
    </row>
    <row r="23">
      <c r="A23">
        <f>HYPERLINK("https://www.ebi.ac.uk/ols/ontologies/fbbt/terms?iri=http://purl.obolibrary.org/obo/FBbt_00007515","FBbt:00007515")</f>
        <v/>
      </c>
      <c r="B23" t="inlineStr">
        <is>
          <t>large field neuron of the central complex</t>
        </is>
      </c>
      <c r="C23" t="inlineStr">
        <is>
          <t>None</t>
        </is>
      </c>
      <c r="D23" t="inlineStr">
        <is>
          <t>Large field neuron that innervates the central complex. Typically these neurons innervate a single neuropil domain with the central complex, arborizing in either the entire domain or some entire subdomain, as well as innervating additional regions external to the central complex.</t>
        </is>
      </c>
      <c r="E23" t="inlineStr">
        <is>
          <t>Hanesch et al., 1989, Cell Tissue Res. 257(2): 343--366 (flybase.org/reports/FBrf0049409)</t>
        </is>
      </c>
      <c r="F23" t="inlineStr"/>
      <c r="G23" t="inlineStr"/>
      <c r="H23" t="inlineStr"/>
    </row>
    <row r="24">
      <c r="A24">
        <f>HYPERLINK("https://www.ebi.ac.uk/ols/ontologies/fbbt/terms?iri=http://purl.obolibrary.org/obo/FBbt_00110630","FBbt:00110630")</f>
        <v/>
      </c>
      <c r="B24" t="inlineStr">
        <is>
          <t>antennal mechanosensory and motor center local AMMC-AMMC 2 neuron</t>
        </is>
      </c>
      <c r="C24" t="inlineStr">
        <is>
          <t>antennal mechanosensory and motor center AMMC-AMMC projection neuron 2; AMMC-AMMC PN2</t>
        </is>
      </c>
      <c r="D24" t="inlineStr">
        <is>
          <t>Projection neuron that innervates both antennal mechanosensory and motor centers (AMMC) with unequal fiber distributions between the two AMMC regions (Lai et al., 2012).</t>
        </is>
      </c>
      <c r="E24" t="inlineStr">
        <is>
          <t>Lai et al., 2012, Proc. Natl. Acad. Sci. U.S.A. 109(7): 2607--2612 (flybase.org/reports/FBrf0217491)</t>
        </is>
      </c>
      <c r="F24" t="inlineStr"/>
      <c r="G24" t="inlineStr"/>
      <c r="H24" t="inlineStr"/>
    </row>
    <row r="25">
      <c r="A25">
        <f>HYPERLINK("https://www.ebi.ac.uk/ols/ontologies/fbbt/terms?iri=http://purl.obolibrary.org/obo/FBbt_00050180","FBbt:00050180")</f>
        <v/>
      </c>
      <c r="B25" t="inlineStr">
        <is>
          <t>adult FLAa3 (female) lineage neuron</t>
        </is>
      </c>
      <c r="C25" t="inlineStr">
        <is>
          <t>FLAa3f lineage neuron</t>
        </is>
      </c>
      <c r="D25" t="inlineStr">
        <is>
          <t>Any neuron (FBbt:00005106) that is part of some adult brain (FBbt:00003624) and that develops from some neuroblast FLAa3 (female) (FBbt:00050178).</t>
        </is>
      </c>
      <c r="E25" t="inlineStr">
        <is>
          <t>Yu et al., 2013, Curr. Biol. 23(8): 633--643 (flybase.org/reports/FBrf0221412)</t>
        </is>
      </c>
      <c r="F25" t="inlineStr"/>
      <c r="G25" t="inlineStr"/>
      <c r="H25" t="inlineStr"/>
    </row>
    <row r="26">
      <c r="A26">
        <f>HYPERLINK("https://www.ebi.ac.uk/ols/ontologies/fbbt/terms?iri=http://purl.obolibrary.org/obo/FBbt_00110046","FBbt:00110046")</f>
        <v/>
      </c>
      <c r="B26" t="inlineStr">
        <is>
          <t>adult deutocerebrum DC Tachykinin neuron</t>
        </is>
      </c>
      <c r="C26" t="inlineStr">
        <is>
          <t>adult TC1 neuron; deuterocerebrum DC tachykinin neuron; adult deuterocerebrum DC tachykinin neuron</t>
        </is>
      </c>
      <c r="D26" t="inlineStr">
        <is>
          <t>Adult neuron that expresses Tachykinin (FBgn0037976) whose cell body is located in the cortex of the anterior deutocerebrum close to the antennal lobes. There are about 8 pairs of cell bodies per hemisphere (Winther et al., 2003).</t>
        </is>
      </c>
      <c r="E26" t="inlineStr">
        <is>
          <t>Winther et al., 2003, J. Comp. Neurol. 464(2): 180--196 (flybase.org/reports/FBrf0162212)</t>
        </is>
      </c>
      <c r="F26" t="inlineStr"/>
      <c r="G26" t="inlineStr"/>
      <c r="H26" t="inlineStr"/>
    </row>
    <row r="27">
      <c r="A27">
        <f>HYPERLINK("https://www.ebi.ac.uk/ols/ontologies/fbbt/terms?iri=http://purl.obolibrary.org/obo/FBbt_00110445","FBbt:00110445")</f>
        <v/>
      </c>
      <c r="B27" t="inlineStr">
        <is>
          <t>adult fruitless aIP-h neuron</t>
        </is>
      </c>
      <c r="C27" t="inlineStr">
        <is>
          <t>aIP-h neuron</t>
        </is>
      </c>
      <c r="D27" t="inlineStr">
        <is>
          <t>Any neuron (FBbt:00005106) that is part of some adult fruitless aIP-h lineage clone (FBbt:00110444) and that develops from some neuroblast WEDa2 (FBbt:00050015) and that is part of some adult brain (FBbt:00003624).</t>
        </is>
      </c>
      <c r="E27" t="inlineStr">
        <is>
          <t>Cachero et al., 2010, Curr. Biol. 20(18): 1589--1601 (flybase.org/reports/FBrf0211926)</t>
        </is>
      </c>
      <c r="F27" t="inlineStr"/>
      <c r="G27" t="inlineStr"/>
      <c r="H27" t="inlineStr"/>
    </row>
    <row r="28">
      <c r="A28">
        <f>HYPERLINK("https://www.ebi.ac.uk/ols/ontologies/fbbt/terms?iri=http://purl.obolibrary.org/obo/FBbt_00111429","FBbt:00111429")</f>
        <v/>
      </c>
      <c r="B28" t="inlineStr">
        <is>
          <t>PB slice 5-FB layers 3-5-IDFP RB neuron</t>
        </is>
      </c>
      <c r="C28" t="inlineStr">
        <is>
          <t>PBL5-FBL2c,d&gt;IDFPR-RB; PBR5-FBR2c,d&gt;IDFPL-RB</t>
        </is>
      </c>
      <c r="D28" t="inlineStr">
        <is>
          <t>Small field neuron of the central complex with dendritic arbors in protocerebral bridge slice 5, ipsilateral fan-shaped body layers 3, 4 and 5 (layers b, c, d) and segment pair Y (column 2), and axon terminals in the contralateral rubus (round body of IDFP).</t>
        </is>
      </c>
      <c r="E28" t="inlineStr">
        <is>
          <t>Lin et al., 2013, Cell Rep. 3(5): 1739--1753 (flybase.org/reports/FBrf0221742); Wolff et al., 2015, J. Comp. Neurol. 523(7): 997--1037 (flybase.org/reports/FBrf0227801)</t>
        </is>
      </c>
      <c r="F28" t="inlineStr"/>
      <c r="G28" t="inlineStr"/>
      <c r="H28" t="inlineStr"/>
    </row>
    <row r="29">
      <c r="A29">
        <f>HYPERLINK("https://www.ebi.ac.uk/ols/ontologies/fbbt/terms?iri=http://purl.obolibrary.org/obo/FBbt_00050049","FBbt:00050049")</f>
        <v/>
      </c>
      <c r="B29" t="inlineStr">
        <is>
          <t>adult LHl1 lineage neuron</t>
        </is>
      </c>
      <c r="C29" t="inlineStr">
        <is>
          <t>None</t>
        </is>
      </c>
      <c r="D29" t="inlineStr">
        <is>
          <t>Any neuron (FBbt:00005106) that is part of some adult brain (FBbt:00003624) and that develops from some neuroblast LHl1 (FBbt:00050047).</t>
        </is>
      </c>
      <c r="E29" t="inlineStr">
        <is>
          <t>Yu et al., 2013, Curr. Biol. 23(8): 633--643 (flybase.org/reports/FBrf0221412); Ito et al., 2013, Curr. Biol. 23(8): 644--655 (flybase.org/reports/FBrf0221438)</t>
        </is>
      </c>
      <c r="F29" t="inlineStr"/>
      <c r="G29" t="inlineStr"/>
      <c r="H29" t="inlineStr"/>
    </row>
    <row r="30">
      <c r="A30">
        <f>HYPERLINK("https://www.ebi.ac.uk/ols/ontologies/fbbt/terms?iri=http://purl.obolibrary.org/obo/FBbt_00111428","FBbt:00111428")</f>
        <v/>
      </c>
      <c r="B30" t="inlineStr">
        <is>
          <t>PB slice 4-FB layers 3-5-IDFP RB neuron</t>
        </is>
      </c>
      <c r="C30" t="inlineStr">
        <is>
          <t>PBR4-FBR1c,d&gt;IDFPL-RB; PBL4-FBR1c,d&gt;IDFPR-RB; PBL4-FBL1c,d&gt;IDFPR-RB; PBR4-FBL1c,d&gt;IDFPL-RB</t>
        </is>
      </c>
      <c r="D30" t="inlineStr">
        <is>
          <t>Small field neuron of the central complex with dendritic arbors in protocerebral bridge slice 4, ipsi- or contralateral fan-shaped body layers 3, 4 and 5 (layers b, c, d) and segment pair Z (column 1), and axon terminals in the contralateral rubus (round body of IDFP).</t>
        </is>
      </c>
      <c r="E30" t="inlineStr">
        <is>
          <t>Lin et al., 2013, Cell Rep. 3(5): 1739--1753 (flybase.org/reports/FBrf0221742); Wolff et al., 2015, J. Comp. Neurol. 523(7): 997--1037 (flybase.org/reports/FBrf0227801)</t>
        </is>
      </c>
      <c r="F30" t="inlineStr"/>
      <c r="G30" t="inlineStr"/>
      <c r="H30" t="inlineStr"/>
    </row>
    <row r="31">
      <c r="A31">
        <f>HYPERLINK("https://www.ebi.ac.uk/ols/ontologies/fbbt/terms?iri=http://purl.obolibrary.org/obo/FBbt_00050046","FBbt:00050046")</f>
        <v/>
      </c>
      <c r="B31" t="inlineStr">
        <is>
          <t>adult SLPpm1 lineage neuron</t>
        </is>
      </c>
      <c r="C31" t="inlineStr">
        <is>
          <t>None</t>
        </is>
      </c>
      <c r="D31" t="inlineStr">
        <is>
          <t>Any neuron (FBbt:00005106) that is part of some adult brain (FBbt:00003624) and that develops from some neuroblast SLPpm1 (FBbt:00050044).</t>
        </is>
      </c>
      <c r="E31" t="inlineStr">
        <is>
          <t>Yu et al., 2013, Curr. Biol. 23(8): 633--643 (flybase.org/reports/FBrf0221412); Ito et al., 2013, Curr. Biol. 23(8): 644--655 (flybase.org/reports/FBrf0221438)</t>
        </is>
      </c>
      <c r="F31" t="inlineStr"/>
      <c r="G31" t="inlineStr"/>
      <c r="H31" t="inlineStr"/>
    </row>
    <row r="32">
      <c r="A32">
        <f>HYPERLINK("https://www.ebi.ac.uk/ols/ontologies/fbbt/terms?iri=http://purl.obolibrary.org/obo/FBbt_00111427","FBbt:00111427")</f>
        <v/>
      </c>
      <c r="B32" t="inlineStr">
        <is>
          <t>PB slice 3-FB layers 3-5-IDFP RB neuron</t>
        </is>
      </c>
      <c r="C32" t="inlineStr">
        <is>
          <t>PBR3-FBL2c,d&gt;IDFPL-RB; PBL3-FBR2c,d&gt;IDFPR-RB</t>
        </is>
      </c>
      <c r="D32" t="inlineStr">
        <is>
          <t>Small field neuron of the central complex with dendritic arbors in protocerebral bridge slice 3, contralateral fan-shaped body layers 3, 4 and 5 (layers b, c, d) and segment pair Y (column 2), and axon terminals in the contralateral rubus (round body of IDFP).</t>
        </is>
      </c>
      <c r="E32" t="inlineStr">
        <is>
          <t>Lin et al., 2013, Cell Rep. 3(5): 1739--1753 (flybase.org/reports/FBrf0221742); Wolff et al., 2015, J. Comp. Neurol. 523(7): 997--1037 (flybase.org/reports/FBrf0227801)</t>
        </is>
      </c>
      <c r="F32" t="inlineStr"/>
      <c r="G32" t="inlineStr"/>
      <c r="H32" t="inlineStr"/>
    </row>
    <row r="33">
      <c r="A33">
        <f>HYPERLINK("https://www.ebi.ac.uk/ols/ontologies/fbbt/terms?iri=http://purl.obolibrary.org/obo/FBbt_00111426","FBbt:00111426")</f>
        <v/>
      </c>
      <c r="B33" t="inlineStr">
        <is>
          <t>PB slice 2-FB layers 3-5-IDFP RB neuron</t>
        </is>
      </c>
      <c r="C33" t="inlineStr">
        <is>
          <t>PBL2-FBR3c,d&gt;IDFPR-RB; PBR2-FBL3c,d&gt;IDFPL-RB</t>
        </is>
      </c>
      <c r="D33" t="inlineStr">
        <is>
          <t>Small field neuron of the central complex with dendritic arbors in protocerebral bridge slice 2, contralateral fan-shaped body layers 3, 4 and 5 (layers b, c, d) and segment pair X (column 3), and axon terminals in the contralateral rubus (round body of IDFP).</t>
        </is>
      </c>
      <c r="E33" t="inlineStr">
        <is>
          <t>Lin et al., 2013, Cell Rep. 3(5): 1739--1753 (flybase.org/reports/FBrf0221742); Wolff et al., 2015, J. Comp. Neurol. 523(7): 997--1037 (flybase.org/reports/FBrf0227801)</t>
        </is>
      </c>
      <c r="F33" t="inlineStr"/>
      <c r="G33" t="inlineStr"/>
      <c r="H33" t="inlineStr"/>
    </row>
    <row r="34">
      <c r="A34">
        <f>HYPERLINK("https://www.ebi.ac.uk/ols/ontologies/fbbt/terms?iri=http://purl.obolibrary.org/obo/FBbt_00067371","FBbt:00067371")</f>
        <v/>
      </c>
      <c r="B34" t="inlineStr">
        <is>
          <t>adult antennal lobe projection neuron VA1v vPN</t>
        </is>
      </c>
      <c r="C34" t="inlineStr">
        <is>
          <t>VA1v vPN; VA1lm vPN; adult antennal lobe projection neuron VA1lm vPN</t>
        </is>
      </c>
      <c r="D34" t="inlineStr">
        <is>
          <t>Antennal lobe projection neuron from the ventral neuroblast lineage whose dendrites innervate only antennal lobe glomerulus VA1 ventral compartment. This neuron is GABAergic.</t>
        </is>
      </c>
      <c r="E34" t="inlineStr">
        <is>
          <t>Wong et al., 2002, Cell 109(2): 229--241 (flybase.org/reports/FBrf0146916); Marin et al., 2002, Cell 109(2): 243--255 (flybase.org/reports/FBrf0146917); Jefferis et al., 2007, Cell 128(6): 1187--1203 (flybase.org/reports/FBrf0203179)</t>
        </is>
      </c>
      <c r="F34" t="inlineStr"/>
      <c r="G34" t="inlineStr"/>
      <c r="H34" t="inlineStr"/>
    </row>
    <row r="35">
      <c r="A35">
        <f>HYPERLINK("https://www.ebi.ac.uk/ols/ontologies/fbbt/terms?iri=http://purl.obolibrary.org/obo/FBbt_00111766","FBbt:00111766")</f>
        <v/>
      </c>
      <c r="B35" t="inlineStr">
        <is>
          <t>lobula plate columnar neuron</t>
        </is>
      </c>
      <c r="C35" t="inlineStr">
        <is>
          <t>LPLC</t>
        </is>
      </c>
      <c r="D35" t="inlineStr">
        <is>
          <t>An extrinsic columnar neuron that innervates the lobula plate.</t>
        </is>
      </c>
      <c r="E35" t="inlineStr">
        <is>
          <t>Fischbach and Dittrich, 1989, Cell Tissue Res. 258(3): 441--475 (flybase.org/reports/FBrf0049410)</t>
        </is>
      </c>
      <c r="F35" t="inlineStr"/>
      <c r="G35" t="inlineStr"/>
      <c r="H35" t="inlineStr"/>
    </row>
    <row r="36">
      <c r="A36">
        <f>HYPERLINK("https://www.ebi.ac.uk/ols/ontologies/fbbt/terms?iri=http://purl.obolibrary.org/obo/FBbt_00050043","FBbt:00050043")</f>
        <v/>
      </c>
      <c r="B36" t="inlineStr">
        <is>
          <t>adult SMPad1 (female) lineage neuron</t>
        </is>
      </c>
      <c r="C36" t="inlineStr">
        <is>
          <t>adult SMPad1f lineage neuron</t>
        </is>
      </c>
      <c r="D36" t="inlineStr">
        <is>
          <t>Any neuron (FBbt:00005106) that is part of some adult brain (FBbt:00003624) and that develops from some neuroblast SMPad1 (female) (FBbt:00050041).</t>
        </is>
      </c>
      <c r="E36" t="inlineStr">
        <is>
          <t>Yu et al., 2013, Curr. Biol. 23(8): 633--643 (flybase.org/reports/FBrf0221412); Ito et al., 2013, Curr. Biol. 23(8): 644--655 (flybase.org/reports/FBrf0221438)</t>
        </is>
      </c>
      <c r="F36" t="inlineStr"/>
      <c r="G36" t="inlineStr"/>
      <c r="H36" t="inlineStr"/>
    </row>
    <row r="37">
      <c r="A37">
        <f>HYPERLINK("https://www.ebi.ac.uk/ols/ontologies/fbbt/terms?iri=http://purl.obolibrary.org/obo/FBbt_00050189","FBbt:00050189")</f>
        <v/>
      </c>
      <c r="B37" t="inlineStr">
        <is>
          <t>adult FLAa2 lineage neuron</t>
        </is>
      </c>
      <c r="C37" t="inlineStr">
        <is>
          <t>None</t>
        </is>
      </c>
      <c r="D37" t="inlineStr">
        <is>
          <t>Any neuron (FBbt:00005106) that is part of some adult brain (FBbt:00003624) and that develops from some neuroblast FLAa2 (FBbt:00050187).</t>
        </is>
      </c>
      <c r="E37" t="inlineStr">
        <is>
          <t>Yu et al., 2013, Curr. Biol. 23(8): 633--643 (flybase.org/reports/FBrf0221412); Ito et al., 2013, Curr. Biol. 23(8): 644--655 (flybase.org/reports/FBrf0221438)</t>
        </is>
      </c>
      <c r="F37" t="inlineStr"/>
      <c r="G37" t="inlineStr"/>
      <c r="H37" t="inlineStr"/>
    </row>
    <row r="38">
      <c r="A38">
        <f>HYPERLINK("https://www.ebi.ac.uk/ols/ontologies/fbbt/terms?iri=http://purl.obolibrary.org/obo/FBbt_00111421","FBbt:00111421")</f>
        <v/>
      </c>
      <c r="B38" t="inlineStr">
        <is>
          <t>EB-IDFP VSB-PB slice 6 glomerulus neuron</t>
        </is>
      </c>
      <c r="C38" t="inlineStr">
        <is>
          <t>EBL2C,O,P; L4C,O,P&gt;EBL3C,O,P-IDFPR-VSB-PBL5; EBR2C,O,P; R4C,O,P&gt;EBR3C,O,P-IDFPL-VSB-PBR5</t>
        </is>
      </c>
      <c r="D38" t="inlineStr">
        <is>
          <t>Small field neuron of the central complex with dendritic and axonal arbors in the inner, outer and posterior ellipsoid body layers of slices 2 and 4, and axon terminals in the ipsilateral ellipsoid body inner, outer and posterior ellipsoid body layers of slice 3, the contralateral ventral gall (ventral spindle body of the IDFP) and ipsilateral protocerebral bridge slice 6.</t>
        </is>
      </c>
      <c r="E38" t="inlineStr">
        <is>
          <t>Lin et al., 2013, Cell Rep. 3(5): 1739--1753 (flybase.org/reports/FBrf0221742); Wolff et al., 2015, J. Comp. Neurol. 523(7): 997--1037 (flybase.org/reports/FBrf0227801)</t>
        </is>
      </c>
      <c r="F38" t="inlineStr"/>
      <c r="G38" t="inlineStr"/>
      <c r="H38" t="inlineStr"/>
    </row>
    <row r="39">
      <c r="A39">
        <f>HYPERLINK("https://www.ebi.ac.uk/ols/ontologies/fbbt/terms?iri=http://purl.obolibrary.org/obo/FBbt_00110978","FBbt:00110978")</f>
        <v/>
      </c>
      <c r="B39" t="inlineStr">
        <is>
          <t>antennal mechanosensory and motor center D1 projection neuron</t>
        </is>
      </c>
      <c r="C39" t="inlineStr">
        <is>
          <t>AMMC-D1 PN; AMMC-D1 neuron</t>
        </is>
      </c>
      <c r="D39" t="inlineStr">
        <is>
          <t>Projection neuron whose cell body is located in the posterior brain, close to the superior posterior slope. It projects ipsilaterally to the posterior side of AMMC zone D, branching to form postsynaptic terminals in zones B, C, D and E. It then passes through the posterior side of the gnathal ganglion, extending into the dorsolateral region of the thoracico-abdominal ganglion.</t>
        </is>
      </c>
      <c r="E39" t="inlineStr">
        <is>
          <t>Matsuo et al., 2014, Front. Physiol. 5: 179 (flybase.org/reports/FBrf0225118); Matsuo et al., 2016, J. Comp. Neurol. 524(6): 1099--1164 (flybase.org/reports/FBrf0230862)</t>
        </is>
      </c>
      <c r="F39" t="inlineStr"/>
      <c r="G39" t="inlineStr"/>
      <c r="H39" t="inlineStr"/>
    </row>
    <row r="40">
      <c r="A40">
        <f>HYPERLINK("https://www.ebi.ac.uk/ols/ontologies/fbbt/terms?iri=http://purl.obolibrary.org/obo/FBbt_00111420","FBbt:00111420")</f>
        <v/>
      </c>
      <c r="B40" t="inlineStr">
        <is>
          <t>EB-IDFP VSB-PB slice 4 glomerulus neuron</t>
        </is>
      </c>
      <c r="C40" t="inlineStr">
        <is>
          <t>EBR1C,O,P; R3C,O,P&gt;EBR2C,O,P-IDFPR-VSB-PBL3</t>
        </is>
      </c>
      <c r="D40" t="inlineStr">
        <is>
          <t>Small field neuron of the central complex with dendritic and axonal arbors in the inner, outer and posterior ellipsoid body layers of slices 1 and 3, and axon terminals in the ipsilateral ellipsoid body inner, outer and posterior ellipsoid body layers of slice 2, the ipsilateral ventral gall (ventral spindle body of the IDFP) and contralateral protocerebral bridge slice 4.</t>
        </is>
      </c>
      <c r="E40" t="inlineStr">
        <is>
          <t>Lin et al., 2013, Cell Rep. 3(5): 1739--1753 (flybase.org/reports/FBrf0221742); Wolff et al., 2015, J. Comp. Neurol. 523(7): 997--1037 (flybase.org/reports/FBrf0227801)</t>
        </is>
      </c>
      <c r="F40" t="inlineStr"/>
      <c r="G40" t="inlineStr"/>
      <c r="H40" t="inlineStr"/>
    </row>
    <row r="41">
      <c r="A41">
        <f>HYPERLINK("https://www.ebi.ac.uk/ols/ontologies/fbbt/terms?iri=http://purl.obolibrary.org/obo/FBbt_00050245","FBbt:00050245")</f>
        <v/>
      </c>
      <c r="B41" t="inlineStr">
        <is>
          <t>adult SMPad1 (male) lineage neuron</t>
        </is>
      </c>
      <c r="C41" t="inlineStr">
        <is>
          <t>adult SMPad1m lineage neuron</t>
        </is>
      </c>
      <c r="D41" t="inlineStr">
        <is>
          <t>Any neuron (FBbt:00005106) that is part of some adult brain (FBbt:00003624) and that develops from some neuroblast SMPad1 (male) (FBbt:00050243).</t>
        </is>
      </c>
      <c r="E41" t="inlineStr">
        <is>
          <t>Yu et al., 2013, Curr. Biol. 23(8): 633--643 (flybase.org/reports/FBrf0221412)</t>
        </is>
      </c>
      <c r="F41" t="inlineStr"/>
      <c r="G41" t="inlineStr"/>
      <c r="H41" t="inlineStr"/>
    </row>
    <row r="42">
      <c r="A42">
        <f>HYPERLINK("https://www.ebi.ac.uk/ols/ontologies/fbbt/terms?iri=http://purl.obolibrary.org/obo/FBbt_00050242","FBbt:00050242")</f>
        <v/>
      </c>
      <c r="B42" t="inlineStr">
        <is>
          <t>adult WEDd1 lineage neuron</t>
        </is>
      </c>
      <c r="C42" t="inlineStr">
        <is>
          <t>None</t>
        </is>
      </c>
      <c r="D42" t="inlineStr">
        <is>
          <t>Any neuron (FBbt:00005106) that is part of some adult brain (FBbt:00003624) and that develops from some neuroblast WEDd1 (FBbt:00050240).</t>
        </is>
      </c>
      <c r="E42" t="inlineStr">
        <is>
          <t>Yu et al., 2013, Curr. Biol. 23(8): 633--643 (flybase.org/reports/FBrf0221412); Ito et al., 2013, Curr. Biol. 23(8): 644--655 (flybase.org/reports/FBrf0221438)</t>
        </is>
      </c>
      <c r="F42" t="inlineStr"/>
      <c r="G42" t="inlineStr"/>
      <c r="H42" t="inlineStr"/>
    </row>
    <row r="43">
      <c r="A43">
        <f>HYPERLINK("https://www.ebi.ac.uk/ols/ontologies/fbbt/terms?iri=http://purl.obolibrary.org/obo/FBbt_00005899","FBbt:00005899")</f>
        <v/>
      </c>
      <c r="B43" t="inlineStr">
        <is>
          <t>dorsal cluster neuron</t>
        </is>
      </c>
      <c r="C43" t="inlineStr">
        <is>
          <t>DCN; DC neuron</t>
        </is>
      </c>
      <c r="D43" t="inlineStr">
        <is>
          <t>A neuron that is part of a cluster of atonal expressing neurons whose cell bodies are located dorsally in the cortex of the adult brain between the optic lobe and the central brain. It innervates the ipsilateral lobula, forming dense, dendrite-like trees, and projects to the contralateral hemisphere via a supraesophageal commissure to innervate the lobula. A third of DCN neurons also extend their axons into the contralateral medulla. The DCN cluster contains around 40 neurons.</t>
        </is>
      </c>
      <c r="E43" t="inlineStr">
        <is>
          <t>Hassan et al., 2000, Neuron 25(3): 549--561 (flybase.org/reports/FBrf0127108); Zheng et al., 2006, EMBO J. 25(3): 615--627 (flybase.org/reports/FBrf0190369); Srahna et al., 2006, PLoS Biol. 4(11): e348 (flybase.org/reports/FBrf0192599)</t>
        </is>
      </c>
      <c r="F43" t="inlineStr"/>
      <c r="G43" t="inlineStr"/>
      <c r="H43" t="inlineStr"/>
    </row>
    <row r="44">
      <c r="A44">
        <f>HYPERLINK("https://www.ebi.ac.uk/ols/ontologies/fbbt/terms?iri=http://purl.obolibrary.org/obo/FBbt_00111425","FBbt:00111425")</f>
        <v/>
      </c>
      <c r="B44" t="inlineStr">
        <is>
          <t>PB slice 1-FB layers 3-5-IDFP RB neuron</t>
        </is>
      </c>
      <c r="C44" t="inlineStr">
        <is>
          <t>PBR1-FBR4c,d&gt;IDFPR-RB; PBR1-FBL4c,d&gt;IDFPL-RB; PBL1-FBR4c,d&gt;IDFPR-RB; PRL1-FBL4c,d&gt;IDFPL-RB</t>
        </is>
      </c>
      <c r="D44" t="inlineStr">
        <is>
          <t>Small field neuron of the central complex with dendritic arbors in ipsilateral protocerebral bridge slice 1, ipsi- or contralateral fan-shaped body layers 3, 4 and 5 (layers b, c, d) and segment pair W (column 4), and axon terminals in the ipsi- or contralateral rubus (round body of IDFP).</t>
        </is>
      </c>
      <c r="E44" t="inlineStr">
        <is>
          <t>Lin et al., 2013, Cell Rep. 3(5): 1739--1753 (flybase.org/reports/FBrf0221742); Wolff et al., 2015, J. Comp. Neurol. 523(7): 997--1037 (flybase.org/reports/FBrf0227801)</t>
        </is>
      </c>
      <c r="F44" t="inlineStr"/>
      <c r="G44" t="inlineStr"/>
      <c r="H44" t="inlineStr"/>
    </row>
    <row r="45">
      <c r="A45">
        <f>HYPERLINK("https://www.ebi.ac.uk/ols/ontologies/fbbt/terms?iri=http://purl.obolibrary.org/obo/FBbt_00005898","FBbt:00005898")</f>
        <v/>
      </c>
      <c r="B45" t="inlineStr">
        <is>
          <t>ventral lobula cluster neuron</t>
        </is>
      </c>
      <c r="C45" t="inlineStr">
        <is>
          <t>VLC neuron; ventral lobular cluster</t>
        </is>
      </c>
      <c r="D45" t="inlineStr">
        <is>
          <t>A neuron that is part of a cluster of atonal expressing neurons whose cell bodies are located ventrally in the lobula of the adult brain. It densely innervates the ventral lobula and extends towards the medulla.</t>
        </is>
      </c>
      <c r="E45" t="inlineStr">
        <is>
          <t>Hassan et al., 2000, Neuron 25(3): 549--561 (flybase.org/reports/FBrf0127108)</t>
        </is>
      </c>
      <c r="F45" t="inlineStr"/>
      <c r="G45" t="inlineStr"/>
      <c r="H45" t="inlineStr"/>
    </row>
    <row r="46">
      <c r="A46">
        <f>HYPERLINK("https://www.ebi.ac.uk/ols/ontologies/fbbt/terms?iri=http://purl.obolibrary.org/obo/FBbt_00111424","FBbt:00111424")</f>
        <v/>
      </c>
      <c r="B46" t="inlineStr">
        <is>
          <t>PB 1 glomerulus-FB layers 3-5-IDFP RB neuron</t>
        </is>
      </c>
      <c r="C46" t="inlineStr">
        <is>
          <t>PBG1-8.s-FBl3,4,5.s.b-rub.b neuron; PB1-glomerulus-FBc,d&gt;IDFPR-RB; PB1-glomerulus-FBc,d&gt;IDFPL-RB</t>
        </is>
      </c>
      <c r="D46" t="inlineStr">
        <is>
          <t>Small field neuron of the central complex with dendritic arbors in a single glomerulus of the protocerebral bridge and the fan-shaped body layers 3, 4 and 5 (layers b, c, d), and axon terminals in the rubus (round body of IDFP).</t>
        </is>
      </c>
      <c r="E46" t="inlineStr">
        <is>
          <t>Lin et al., 2013, Cell Rep. 3(5): 1739--1753 (flybase.org/reports/FBrf0221742); Wolff et al., 2015, J. Comp. Neurol. 523(7): 997--1037 (flybase.org/reports/FBrf0227801)</t>
        </is>
      </c>
      <c r="F46" t="inlineStr"/>
      <c r="G46" t="inlineStr"/>
      <c r="H46" t="inlineStr"/>
    </row>
    <row r="47">
      <c r="A47">
        <f>HYPERLINK("https://www.ebi.ac.uk/ols/ontologies/fbbt/terms?iri=http://purl.obolibrary.org/obo/FBbt_00111423","FBbt:00111423")</f>
        <v/>
      </c>
      <c r="B47" t="inlineStr">
        <is>
          <t>EB slice 8-GA-PB slice 9 neuron</t>
        </is>
      </c>
      <c r="C47" t="inlineStr">
        <is>
          <t>EBC,P&gt;EBC,P-IDFPR-DSB-PB1-glomerulus; PBG9.s-EB.P.s-ga-t.b neuron; EBR8C,P&gt;EBR8C,P-IDFPL-DSB-PBR8; EBL8C,P&gt;EBL8C,P-IDFPR-DSB-PBL8; EBC,P&gt;EBC,P-IDFPL-DSB-PB1-glomerulus</t>
        </is>
      </c>
      <c r="D47" t="inlineStr">
        <is>
          <t>Small field neuron of the central complex with dendritic and axonal arbors in the inner and posterior ellipsoid body layers of slice 8, and axon terminals in the contralateral gall and ipsilateral protocerebral bridge slice 9.</t>
        </is>
      </c>
      <c r="E47" t="inlineStr">
        <is>
          <t>Lin et al., 2013, Cell Rep. 3(5): 1739--1753 (flybase.org/reports/FBrf0221742); Wolff et al., 2015, J. Comp. Neurol. 523(7): 997--1037 (flybase.org/reports/FBrf0227801)</t>
        </is>
      </c>
      <c r="F47" t="inlineStr"/>
      <c r="G47" t="inlineStr"/>
      <c r="H47" t="inlineStr"/>
    </row>
    <row r="48">
      <c r="A48">
        <f>HYPERLINK("https://www.ebi.ac.uk/ols/ontologies/fbbt/terms?iri=http://purl.obolibrary.org/obo/FBbt_00111422","FBbt:00111422")</f>
        <v/>
      </c>
      <c r="B48" t="inlineStr">
        <is>
          <t>EB-IDFP VSB-PB slice 8 glomerulus neuron</t>
        </is>
      </c>
      <c r="C48" t="inlineStr">
        <is>
          <t>EBL6C,O,P; L8C,O,P&gt;EBL7C,O,P-IDFPR-VSB-PBL7; EBR6C,O,P; R8C,O,P&gt;EBR7C,O,P-IDFPL-VSB-PBR7</t>
        </is>
      </c>
      <c r="D48" t="inlineStr">
        <is>
          <t>Small field neuron of the central complex with dendritic and axonal arbors in the inner, outer and posterior ellipsoid body layer of slices 6 and 8, and axon terminals in the ipsilateral ellipsoid body inner, outer and posterior ellipsoid body layers of slice 7, the contralateral ventral gall (ventral spindle body of the IDFP) and ipsilateral protocerebral bridge slice 8.</t>
        </is>
      </c>
      <c r="E48" t="inlineStr">
        <is>
          <t>Lin et al., 2013, Cell Rep. 3(5): 1739--1753 (flybase.org/reports/FBrf0221742); Wolff et al., 2015, J. Comp. Neurol. 523(7): 997--1037 (flybase.org/reports/FBrf0227801)</t>
        </is>
      </c>
      <c r="F48" t="inlineStr"/>
      <c r="G48" t="inlineStr"/>
      <c r="H48" t="inlineStr"/>
    </row>
    <row r="49">
      <c r="A49">
        <f>HYPERLINK("https://www.ebi.ac.uk/ols/ontologies/fbbt/terms?iri=http://purl.obolibrary.org/obo/FBbt_00111358","FBbt:00111358")</f>
        <v/>
      </c>
      <c r="B49" t="inlineStr">
        <is>
          <t>antennal mechanosensory and motor center AMMC-VLP5 projection neuron</t>
        </is>
      </c>
      <c r="C49" t="inlineStr">
        <is>
          <t>AV5 neuron; AMMC-VLP5 neuron</t>
        </is>
      </c>
      <c r="D49" t="inlineStr">
        <is>
          <t>Projection neuron whose cell body is located posteriorly to the ventrolateral protocerebrum (VLP). Ipsilaterally, it innervates the antennal mechanosensory and motor center (AMMC), wedge (IVLP) and anterior VLP. It projects across the midline via the superior AMMC commissure to innervate the anterior VLP region.</t>
        </is>
      </c>
      <c r="E49" t="inlineStr">
        <is>
          <t>Clemens et al., 2015, Neuron 87(6): 1332--1343 (flybase.org/reports/FBrf0229690)</t>
        </is>
      </c>
      <c r="F49" t="inlineStr"/>
      <c r="G49" t="inlineStr"/>
      <c r="H49" t="inlineStr"/>
    </row>
    <row r="50">
      <c r="A50">
        <f>HYPERLINK("https://www.ebi.ac.uk/ols/ontologies/fbbt/terms?iri=http://purl.obolibrary.org/obo/FBbt_00111211","FBbt:00111211")</f>
        <v/>
      </c>
      <c r="B50" t="inlineStr">
        <is>
          <t>adult antennal lobe projection neuron DC4 adPN</t>
        </is>
      </c>
      <c r="C50" t="inlineStr">
        <is>
          <t>DC4 adPN</t>
        </is>
      </c>
      <c r="D50" t="inlineStr">
        <is>
          <t>Antennal lobe projection neuron from the ad neuroblast lineage whose dendrites innervate only antennal lobe glomerulus DC4. Its axon terminal bifurcates to form stereotypical dorsal and ventral branches in the anterior medial region of the lateral horn.</t>
        </is>
      </c>
      <c r="E50" t="inlineStr">
        <is>
          <t>Ai et al., 2013, J. Neurosci. 33(26): 10741--10749 (flybase.org/reports/FBrf0222046)</t>
        </is>
      </c>
      <c r="F50" t="inlineStr"/>
      <c r="G50" t="inlineStr"/>
      <c r="H50" t="inlineStr"/>
    </row>
    <row r="51">
      <c r="A51">
        <f>HYPERLINK("https://www.ebi.ac.uk/ols/ontologies/fbbt/terms?iri=http://purl.obolibrary.org/obo/FBbt_00111357","FBbt:00111357")</f>
        <v/>
      </c>
      <c r="B51" t="inlineStr">
        <is>
          <t>antennal mechanosensory and motor center AMMC-VLP3 projection neuron</t>
        </is>
      </c>
      <c r="C51" t="inlineStr">
        <is>
          <t>AMMC-VLP3 neuron; AV3 neuron</t>
        </is>
      </c>
      <c r="D51" t="inlineStr">
        <is>
          <t>Projection neuron whose cell body is located ventrolaterally to the gnathal ganglion. It innervates the ipsilateral antennal mechanosensory and motor center (AMMC), anterior ventrolateral protocerebrum (VLP), wedge (inferior VLP) and the subesophageal zone (SEZ). It is a GABAergic neuron.</t>
        </is>
      </c>
      <c r="E51" t="inlineStr">
        <is>
          <t>Clemens et al., 2015, Neuron 87(6): 1332--1343 (flybase.org/reports/FBrf0229690)</t>
        </is>
      </c>
      <c r="F51" t="inlineStr"/>
      <c r="G51" t="inlineStr"/>
      <c r="H51" t="inlineStr"/>
    </row>
    <row r="52">
      <c r="A52">
        <f>HYPERLINK("https://www.ebi.ac.uk/ols/ontologies/fbbt/terms?iri=http://purl.obolibrary.org/obo/FBbt_00110373","FBbt:00110373")</f>
        <v/>
      </c>
      <c r="B52" t="inlineStr">
        <is>
          <t>adult SMPp&amp;v2 lineage neuron</t>
        </is>
      </c>
      <c r="C52" t="inlineStr">
        <is>
          <t>None</t>
        </is>
      </c>
      <c r="D52" t="inlineStr">
        <is>
          <t>Any neuron (FBbt:00005106) that is part of some adult brain (FBbt:00003624) and that develops from some neuroblast SMPp&amp;v2 (FBbt:00110371).</t>
        </is>
      </c>
      <c r="E52" t="inlineStr">
        <is>
          <t>Ito et al., 2013, Curr. Biol. 23(8): 644--655 (flybase.org/reports/FBrf0221438)</t>
        </is>
      </c>
      <c r="F52" t="inlineStr"/>
      <c r="G52" t="inlineStr"/>
      <c r="H52" t="inlineStr"/>
    </row>
    <row r="53">
      <c r="A53">
        <f>HYPERLINK("https://www.ebi.ac.uk/ols/ontologies/fbbt/terms?iri=http://purl.obolibrary.org/obo/FBbt_00111356","FBbt:00111356")</f>
        <v/>
      </c>
      <c r="B53" t="inlineStr">
        <is>
          <t>antennal mechanosensory and motor center AMMC-VLP2 projection neuron</t>
        </is>
      </c>
      <c r="C53" t="inlineStr">
        <is>
          <t>AV2 neuron; AMMC-VLP2 neuron</t>
        </is>
      </c>
      <c r="D53" t="inlineStr">
        <is>
          <t>Projection neuron whose cell body is located ventrolaterally to the gnathal ganglion. It innervates the ipsilateral antennal mechanosensory and motor center (AMMC), anterior ventrolateral protocerebrum (VLP), wedge (inferior VLP) and the subesophageal zone (SEZ). A few neurites cross the midline in the ventral SEZ.</t>
        </is>
      </c>
      <c r="E53" t="inlineStr">
        <is>
          <t>Clemens et al., 2015, Neuron 87(6): 1332--1343 (flybase.org/reports/FBrf0229690)</t>
        </is>
      </c>
      <c r="F53" t="inlineStr"/>
      <c r="G53" t="inlineStr"/>
      <c r="H53" t="inlineStr"/>
    </row>
    <row r="54">
      <c r="A54">
        <f>HYPERLINK("https://www.ebi.ac.uk/ols/ontologies/fbbt/terms?iri=http://purl.obolibrary.org/obo/FBbt_00050105","FBbt:00050105")</f>
        <v/>
      </c>
      <c r="B54" t="inlineStr">
        <is>
          <t>adult VLPl1 lineage neuron</t>
        </is>
      </c>
      <c r="C54" t="inlineStr">
        <is>
          <t>None</t>
        </is>
      </c>
      <c r="D54" t="inlineStr">
        <is>
          <t>Any neuron (FBbt:00005106) that is part of some adult brain (FBbt:00003624) and that develops from some neuroblast VLPl1 (FBbt:00050103).</t>
        </is>
      </c>
      <c r="E54" t="inlineStr">
        <is>
          <t>Yu et al., 2013, Curr. Biol. 23(8): 633--643 (flybase.org/reports/FBrf0221412); Ito et al., 2013, Curr. Biol. 23(8): 644--655 (flybase.org/reports/FBrf0221438)</t>
        </is>
      </c>
      <c r="F54" t="inlineStr"/>
      <c r="G54" t="inlineStr"/>
      <c r="H54" t="inlineStr"/>
    </row>
    <row r="55">
      <c r="A55">
        <f>HYPERLINK("https://www.ebi.ac.uk/ols/ontologies/fbbt/terms?iri=http://purl.obolibrary.org/obo/FBbt_00111355","FBbt:00111355")</f>
        <v/>
      </c>
      <c r="B55" t="inlineStr">
        <is>
          <t>antennal mechanosensory and motor center AMMC-VLP1 projection neuron</t>
        </is>
      </c>
      <c r="C55" t="inlineStr">
        <is>
          <t>AMMC-VLP1 neuron; AV1 neuron</t>
        </is>
      </c>
      <c r="D55" t="inlineStr">
        <is>
          <t>Projection neuron whose cell body is located posteriorly to the ventrolateral protocerebrum (VLP). Ipsilaterally, it innervates the antennal mechanosensory and motor center (AMMC) and posterior VLP. It projects across the midline via the superior AMMC commissure to innervate the posterior VLP region.</t>
        </is>
      </c>
      <c r="E55" t="inlineStr">
        <is>
          <t>Clemens et al., 2015, Neuron 87(6): 1332--1343 (flybase.org/reports/FBrf0229690)</t>
        </is>
      </c>
      <c r="F55" t="inlineStr"/>
      <c r="G55" t="inlineStr"/>
      <c r="H55" t="inlineStr"/>
    </row>
    <row r="56">
      <c r="A56">
        <f>HYPERLINK("https://www.ebi.ac.uk/ols/ontologies/fbbt/terms?iri=http://purl.obolibrary.org/obo/FBbt_00110370","FBbt:00110370")</f>
        <v/>
      </c>
      <c r="B56" t="inlineStr">
        <is>
          <t>adult SLPpm4 lineage neuron</t>
        </is>
      </c>
      <c r="C56" t="inlineStr">
        <is>
          <t>None</t>
        </is>
      </c>
      <c r="D56" t="inlineStr">
        <is>
          <t>Any neuron (FBbt:00005106) that is part of some adult brain (FBbt:00003624) and that develops from some neuroblast SLPpm4 (FBbt:00110368).</t>
        </is>
      </c>
      <c r="E56" t="inlineStr">
        <is>
          <t>Ito et al., 2013, Curr. Biol. 23(8): 644--655 (flybase.org/reports/FBrf0221438)</t>
        </is>
      </c>
      <c r="F56" t="inlineStr"/>
      <c r="G56" t="inlineStr"/>
      <c r="H56" t="inlineStr"/>
    </row>
    <row r="57">
      <c r="A57">
        <f>HYPERLINK("https://www.ebi.ac.uk/ols/ontologies/fbbt/terms?iri=http://purl.obolibrary.org/obo/FBbt_00050248","FBbt:00050248")</f>
        <v/>
      </c>
      <c r="B57" t="inlineStr">
        <is>
          <t>adult CREa1 (male) lineage neuron</t>
        </is>
      </c>
      <c r="C57" t="inlineStr">
        <is>
          <t>adult CREa1m lineage neuron</t>
        </is>
      </c>
      <c r="D57" t="inlineStr">
        <is>
          <t>Any neuron (FBbt:00005106) that is part of some adult brain (FBbt:00003624) and that develops from some neuroblast CREa1 (male) (FBbt:00050246).</t>
        </is>
      </c>
      <c r="E57" t="inlineStr">
        <is>
          <t>Yu et al., 2013, Curr. Biol. 23(8): 633--643 (flybase.org/reports/FBrf0221412)</t>
        </is>
      </c>
      <c r="F57" t="inlineStr"/>
      <c r="G57" t="inlineStr"/>
      <c r="H57" t="inlineStr"/>
    </row>
    <row r="58">
      <c r="A58">
        <f>HYPERLINK("https://www.ebi.ac.uk/ols/ontologies/fbbt/terms?iri=http://purl.obolibrary.org/obo/FBbt_00004044","FBbt:00004044")</f>
        <v/>
      </c>
      <c r="B58" t="inlineStr">
        <is>
          <t>LN period neuron</t>
        </is>
      </c>
      <c r="C58" t="inlineStr">
        <is>
          <t>lateral neuron; LN per neuron; lateral cell; LC; LN; adult lateral neuron</t>
        </is>
      </c>
      <c r="D58" t="inlineStr">
        <is>
          <t>Period (FBgn0003068) expressing neuron of the adult brain whose cell body is located in the cortical region between the medulla and the central brain neuropil.</t>
        </is>
      </c>
      <c r="E58" t="inlineStr">
        <is>
          <t>Helfrich-Forster et al., 2007, J. Comp. Neurol. 500(1): 47--70 (flybase.org/reports/FBrf0193849)</t>
        </is>
      </c>
      <c r="F58" t="inlineStr"/>
      <c r="G58" t="inlineStr"/>
      <c r="H58" t="inlineStr"/>
    </row>
    <row r="59">
      <c r="A59">
        <f>HYPERLINK("https://www.ebi.ac.uk/ols/ontologies/fbbt/terms?iri=http://purl.obolibrary.org/obo/FBbt_00050102","FBbt:00050102")</f>
        <v/>
      </c>
      <c r="B59" t="inlineStr">
        <is>
          <t>adult DM3 lineage neuron</t>
        </is>
      </c>
      <c r="C59" t="inlineStr">
        <is>
          <t>None</t>
        </is>
      </c>
      <c r="D59" t="inlineStr">
        <is>
          <t>Any neuron (FBbt:00005106) that is part of some adult brain (FBbt:00003624) and that develops from some neuroblast DM3 (FBbt:00050100).</t>
        </is>
      </c>
      <c r="E59" t="inlineStr">
        <is>
          <t>Viktorin et al., 2011, Dev. Biol. 356(2): 553--565 (flybase.org/reports/FBrf0214495); Yu et al., 2013, Curr. Biol. 23(8): 633--643 (flybase.org/reports/FBrf0221412); Ito et al., 2013, Curr. Biol. 23(8): 644--655 (flybase.org/reports/FBrf0221438)</t>
        </is>
      </c>
      <c r="F59" t="inlineStr"/>
      <c r="G59" t="inlineStr"/>
      <c r="H59" t="inlineStr"/>
    </row>
    <row r="60">
      <c r="A60">
        <f>HYPERLINK("https://www.ebi.ac.uk/ols/ontologies/fbbt/terms?iri=http://purl.obolibrary.org/obo/FBbt_00110376","FBbt:00110376")</f>
        <v/>
      </c>
      <c r="B60" t="inlineStr">
        <is>
          <t>adult SMPpd2 lineage neuron</t>
        </is>
      </c>
      <c r="C60" t="inlineStr">
        <is>
          <t>None</t>
        </is>
      </c>
      <c r="D60" t="inlineStr">
        <is>
          <t>Any neuron (FBbt:00005106) that is part of some adult brain (FBbt:00003624) and that develops from some neuroblast SMPpd2 (FBbt:00110374).</t>
        </is>
      </c>
      <c r="E60" t="inlineStr">
        <is>
          <t>Ito et al., 2013, Curr. Biol. 23(8): 644--655 (flybase.org/reports/FBrf0221438)</t>
        </is>
      </c>
      <c r="F60" t="inlineStr"/>
      <c r="G60" t="inlineStr"/>
      <c r="H60" t="inlineStr"/>
    </row>
    <row r="61">
      <c r="A61">
        <f>HYPERLINK("https://www.ebi.ac.uk/ols/ontologies/fbbt/terms?iri=http://purl.obolibrary.org/obo/FBbt_00111359","FBbt:00111359")</f>
        <v/>
      </c>
      <c r="B61" t="inlineStr">
        <is>
          <t>antennal mechanosensory and motor center AMMC-AL1 projection neuron</t>
        </is>
      </c>
      <c r="C61" t="inlineStr">
        <is>
          <t>AMMC-AL1 neuron; AAL1 neuron</t>
        </is>
      </c>
      <c r="D61" t="inlineStr">
        <is>
          <t>Projection neuron whose cell body is located ventrally around the gnathal ganglion. It innervates the antennal mechanosensory and motor center (AMMC) and the subesophageal zone (SEZ) bilaterally, and the contralateral antennal lobe.</t>
        </is>
      </c>
      <c r="E61" t="inlineStr">
        <is>
          <t>Clemens et al., 2015, Neuron 87(6): 1332--1343 (flybase.org/reports/FBrf0229690)</t>
        </is>
      </c>
      <c r="F61" t="inlineStr"/>
      <c r="G61" t="inlineStr"/>
      <c r="H61" t="inlineStr"/>
    </row>
    <row r="62">
      <c r="A62">
        <f>HYPERLINK("https://www.ebi.ac.uk/ols/ontologies/fbbt/terms?iri=http://purl.obolibrary.org/obo/FBbt_00050052","FBbt:00050052")</f>
        <v/>
      </c>
      <c r="B62" t="inlineStr">
        <is>
          <t>adult PSa1 lineage neuron</t>
        </is>
      </c>
      <c r="C62" t="inlineStr">
        <is>
          <t>None</t>
        </is>
      </c>
      <c r="D62" t="inlineStr">
        <is>
          <t>Any neuron (FBbt:00005106) that is part of some adult brain (FBbt:00003624) and that develops from some neuroblast PSa1 (FBbt:00050050).</t>
        </is>
      </c>
      <c r="E62" t="inlineStr">
        <is>
          <t>Yu et al., 2013, Curr. Biol. 23(8): 633--643 (flybase.org/reports/FBrf0221412); Ito et al., 2013, Curr. Biol. 23(8): 644--655 (flybase.org/reports/FBrf0221438)</t>
        </is>
      </c>
      <c r="F62" t="inlineStr"/>
      <c r="G62" t="inlineStr"/>
      <c r="H62" t="inlineStr"/>
    </row>
    <row r="63">
      <c r="A63">
        <f>HYPERLINK("https://www.ebi.ac.uk/ols/ontologies/fbbt/terms?iri=http://purl.obolibrary.org/obo/FBbt_00111016","FBbt:00111016")</f>
        <v/>
      </c>
      <c r="B63" t="inlineStr">
        <is>
          <t>dopaminergic PAM neuron 2</t>
        </is>
      </c>
      <c r="C63" t="inlineStr">
        <is>
          <t>PAM-02', "PAM-beta'2a"]</t>
        </is>
      </c>
      <c r="D63" t="inlineStr">
        <is>
          <t>Dopaminergic neuron of the PAM cluster whose dendrites arborize the superior medial protocerebrum and crepine. The axon projects to the anterior layer of the beta' lobe slice 2. There are around 6-9 neurons of this type in each hemisphere.</t>
        </is>
      </c>
      <c r="E63" t="inlineStr">
        <is>
          <t>Aso et al., 2014, eLife 3: e04577 (flybase.org/reports/FBrf0227179)</t>
        </is>
      </c>
      <c r="F63" t="inlineStr"/>
      <c r="G63" t="inlineStr"/>
      <c r="H63" t="inlineStr"/>
    </row>
    <row r="64">
      <c r="A64">
        <f>HYPERLINK("https://www.ebi.ac.uk/ols/ontologies/fbbt/terms?iri=http://purl.obolibrary.org/obo/FBbt_00003992","FBbt:00003992")</f>
        <v/>
      </c>
      <c r="B64" t="inlineStr">
        <is>
          <t>bilateral ACT relay interneuron</t>
        </is>
      </c>
      <c r="C64" t="inlineStr">
        <is>
          <t>bACTI</t>
        </is>
      </c>
      <c r="D64" t="inlineStr">
        <is>
          <t>Bilateral antennal lobe projection neuron whose dendrites innervate a small number of glomeruli in both antennal lobes and whose axon fasciculates with the antennal lobe tract and innervates the mushroom body calyx and the lateral horn.</t>
        </is>
      </c>
      <c r="E64" t="inlineStr">
        <is>
          <t>Stocker et al., 1990, Cell Tissue Res. 262(1): 9--34 (flybase.org/reports/FBrf0051437)</t>
        </is>
      </c>
      <c r="F64" t="inlineStr"/>
      <c r="G64" t="inlineStr"/>
      <c r="H64" t="inlineStr"/>
    </row>
    <row r="65">
      <c r="A65">
        <f>HYPERLINK("https://www.ebi.ac.uk/ols/ontologies/fbbt/terms?iri=http://purl.obolibrary.org/obo/FBbt_00111014","FBbt:00111014")</f>
        <v/>
      </c>
      <c r="B65" t="inlineStr">
        <is>
          <t>mushroom body output neuron 4</t>
        </is>
      </c>
      <c r="C65" t="inlineStr">
        <is>
          <t>MBON-04', "MBON-beta'2mp_bilateral"]</t>
        </is>
      </c>
      <c r="D65" t="inlineStr">
        <is>
          <t>Glutamatergic neuron whose cell body is located on the superior neuropils of each hemisphere, anterior to the pars intercerebralis. The cell body fiber is sent ventrally towards the medial lobe, crossing the midline. Dendritic arborizations are found in the anterior and posterior layers of beta' lobe slice 2, with the main axon projecting bilaterally to the crepine and superior medial protocerebrum. Unlike mushroom body medial lobe arborizing neuron 4, there is substantial arborization in the ipsilateral hemisphere.</t>
        </is>
      </c>
      <c r="E65" t="inlineStr">
        <is>
          <t>Aso et al., 2014, eLife 3: e04577 (flybase.org/reports/FBrf0227179)</t>
        </is>
      </c>
      <c r="F65" t="inlineStr"/>
      <c r="G65" t="inlineStr"/>
      <c r="H65" t="inlineStr"/>
    </row>
    <row r="66">
      <c r="A66">
        <f>HYPERLINK("https://www.ebi.ac.uk/ols/ontologies/fbbt/terms?iri=http://purl.obolibrary.org/obo/FBbt_00003907","FBbt:00003907")</f>
        <v/>
      </c>
      <c r="B66" t="inlineStr">
        <is>
          <t>lobula plate tangential neuron</t>
        </is>
      </c>
      <c r="C66" t="inlineStr">
        <is>
          <t>LPTC; lobular plate tangential neuron; Lpt; lobula plate tangential cell</t>
        </is>
      </c>
      <c r="D66" t="inlineStr">
        <is>
          <t>Tangential neuron of the optic lobe that projects and arborizes along the plane of one or more layers of the lobula plate.</t>
        </is>
      </c>
      <c r="E66" t="inlineStr">
        <is>
          <t>Fischbach and Dittrich, 1989, Cell Tissue Res. 258(3): 441--475 (flybase.org/reports/FBrf0049410)</t>
        </is>
      </c>
      <c r="F66" t="inlineStr"/>
      <c r="G66" t="inlineStr"/>
      <c r="H66" t="inlineStr"/>
    </row>
    <row r="67">
      <c r="A67">
        <f>HYPERLINK("https://www.ebi.ac.uk/ols/ontologies/fbbt/terms?iri=http://purl.obolibrary.org/obo/FBbt_00050197","FBbt:00050197")</f>
        <v/>
      </c>
      <c r="B67" t="inlineStr">
        <is>
          <t>adult ALv1 lineage neuron</t>
        </is>
      </c>
      <c r="C67" t="inlineStr">
        <is>
          <t>adult vPN lineage neuron; adult BAla1 lineage neuron</t>
        </is>
      </c>
      <c r="D67" t="inlineStr">
        <is>
          <t>Any neuron (FBbt:00005106) that is part of some adult brain (FBbt:00003624) and that develops from some neuroblast ALv1 (FBbt:00067348).</t>
        </is>
      </c>
      <c r="E67" t="inlineStr">
        <is>
          <t>Yu et al., 2013, Curr. Biol. 23(8): 633--643 (flybase.org/reports/FBrf0221412)</t>
        </is>
      </c>
      <c r="F67" t="inlineStr"/>
      <c r="G67" t="inlineStr"/>
      <c r="H67" t="inlineStr"/>
    </row>
    <row r="68">
      <c r="A68">
        <f>HYPERLINK("https://www.ebi.ac.uk/ols/ontologies/fbbt/terms?iri=http://purl.obolibrary.org/obo/FBbt_00111354","FBbt:00111354")</f>
        <v/>
      </c>
      <c r="B68" t="inlineStr">
        <is>
          <t>antennal mechanosensory and motor center AMMC-VLP projection neuron</t>
        </is>
      </c>
      <c r="C68" t="inlineStr">
        <is>
          <t>AMMC-VLP neuron; AMMC-VLP PN</t>
        </is>
      </c>
      <c r="D68" t="inlineStr">
        <is>
          <t>Projection neuron that arborizes in both the antennal mechanosensory and motor center (AMMC) and in the ventrolateral protocerebrum (VLP).</t>
        </is>
      </c>
      <c r="E68" t="inlineStr">
        <is>
          <t>Clemens et al., 2015, Neuron 87(6): 1332--1343 (flybase.org/reports/FBrf0229690)</t>
        </is>
      </c>
      <c r="F68" t="inlineStr"/>
      <c r="G68" t="inlineStr"/>
      <c r="H68" t="inlineStr"/>
    </row>
    <row r="69">
      <c r="A69">
        <f>HYPERLINK("https://www.ebi.ac.uk/ols/ontologies/fbbt/terms?iri=http://purl.obolibrary.org/obo/FBbt_00111353","FBbt:00111353")</f>
        <v/>
      </c>
      <c r="B69" t="inlineStr">
        <is>
          <t>intrinsic wedge neuron</t>
        </is>
      </c>
      <c r="C69" t="inlineStr">
        <is>
          <t>intrinsic IVLP neuron; IVLP LN</t>
        </is>
      </c>
      <c r="D69" t="inlineStr">
        <is>
          <t>Interneuron that innervates only the adult wedge (or IVLP).</t>
        </is>
      </c>
      <c r="E69" t="inlineStr"/>
      <c r="F69" t="inlineStr"/>
      <c r="G69" t="inlineStr"/>
      <c r="H69" t="inlineStr"/>
    </row>
    <row r="70">
      <c r="A70">
        <f>HYPERLINK("https://www.ebi.ac.uk/ols/ontologies/fbbt/terms?iri=http://purl.obolibrary.org/obo/FBbt_00050195","FBbt:00050195")</f>
        <v/>
      </c>
      <c r="B70" t="inlineStr">
        <is>
          <t>adult SMPp&amp;v1 lineage neuron</t>
        </is>
      </c>
      <c r="C70" t="inlineStr">
        <is>
          <t>adult SMPp_v1 lineage neuron</t>
        </is>
      </c>
      <c r="D70" t="inlineStr">
        <is>
          <t>Any neuron (FBbt:00005106) that is part of some adult brain (FBbt:00003624) and that develops from some neuroblast SMPp&amp;v1 (FBbt:00050193).</t>
        </is>
      </c>
      <c r="E70" t="inlineStr">
        <is>
          <t>Yu et al., 2013, Curr. Biol. 23(8): 633--643 (flybase.org/reports/FBrf0221412); Ito et al., 2013, Curr. Biol. 23(8): 644--655 (flybase.org/reports/FBrf0221438)</t>
        </is>
      </c>
      <c r="F70" t="inlineStr"/>
      <c r="G70" t="inlineStr"/>
      <c r="H70" t="inlineStr"/>
    </row>
    <row r="71">
      <c r="A71">
        <f>HYPERLINK("https://www.ebi.ac.uk/ols/ontologies/fbbt/terms?iri=http://purl.obolibrary.org/obo/FBbt_00111019","FBbt:00111019")</f>
        <v/>
      </c>
      <c r="B71" t="inlineStr">
        <is>
          <t>dopaminergic PAM neuron 7</t>
        </is>
      </c>
      <c r="C71" t="inlineStr">
        <is>
          <t>PAM-gamma4-gamma1gamma2; PAM-07</t>
        </is>
      </c>
      <c r="D71" t="inlineStr">
        <is>
          <t>A dopaminergic neuron of the PAM cluster that, unusually, has dendritic arborizations in gamma lobe slices 1 and 2, superior medial protocerebrum and crepine. It projects to the gamma lobe slice 4. There are between 13-17 neurons of this type per hemisphere.</t>
        </is>
      </c>
      <c r="E71" t="inlineStr">
        <is>
          <t>Aso et al., 2014, eLife 3: e04577 (flybase.org/reports/FBrf0227179)</t>
        </is>
      </c>
      <c r="F71" t="inlineStr"/>
      <c r="G71" t="inlineStr"/>
      <c r="H71" t="inlineStr"/>
    </row>
    <row r="72">
      <c r="A72">
        <f>HYPERLINK("https://www.ebi.ac.uk/ols/ontologies/fbbt/terms?iri=http://purl.obolibrary.org/obo/FBbt_00111352","FBbt:00111352")</f>
        <v/>
      </c>
      <c r="B72" t="inlineStr">
        <is>
          <t>intrinsic antennal mechanosensory and motor center neuron</t>
        </is>
      </c>
      <c r="C72" t="inlineStr">
        <is>
          <t>intrinsic AMMC neuron; AMMC LN</t>
        </is>
      </c>
      <c r="D72" t="inlineStr">
        <is>
          <t>Interneuron that innervates only the adult antennal mechanosensory and motor center (AMMC).</t>
        </is>
      </c>
      <c r="E72" t="inlineStr"/>
      <c r="F72" t="inlineStr"/>
      <c r="G72" t="inlineStr"/>
      <c r="H72" t="inlineStr"/>
    </row>
    <row r="73">
      <c r="A73">
        <f>HYPERLINK("https://www.ebi.ac.uk/ols/ontologies/fbbt/terms?iri=http://purl.obolibrary.org/obo/FBbt_00050192","FBbt:00050192")</f>
        <v/>
      </c>
      <c r="B73" t="inlineStr">
        <is>
          <t>adult FLAa1 lineage neuron</t>
        </is>
      </c>
      <c r="C73" t="inlineStr">
        <is>
          <t>None</t>
        </is>
      </c>
      <c r="D73" t="inlineStr">
        <is>
          <t>Any neuron (FBbt:00005106) that is part of some adult brain (FBbt:00003624) and that develops from some neuroblast FLAa1 (FBbt:00050190).</t>
        </is>
      </c>
      <c r="E73" t="inlineStr">
        <is>
          <t>Yu et al., 2013, Curr. Biol. 23(8): 633--643 (flybase.org/reports/FBrf0221412); Ito et al., 2013, Curr. Biol. 23(8): 644--655 (flybase.org/reports/FBrf0221438)</t>
        </is>
      </c>
      <c r="F73" t="inlineStr"/>
      <c r="G73" t="inlineStr"/>
      <c r="H73" t="inlineStr"/>
    </row>
    <row r="74">
      <c r="A74">
        <f>HYPERLINK("https://www.ebi.ac.uk/ols/ontologies/fbbt/terms?iri=http://purl.obolibrary.org/obo/FBbt_00050108","FBbt:00050108")</f>
        <v/>
      </c>
      <c r="B74" t="inlineStr">
        <is>
          <t>adult VPNd1 lineage neuron</t>
        </is>
      </c>
      <c r="C74" t="inlineStr">
        <is>
          <t>None</t>
        </is>
      </c>
      <c r="D74" t="inlineStr">
        <is>
          <t>Any neuron (FBbt:00005106) that is part of some adult brain (FBbt:00003624) and that develops from some neuroblast VPNd1 (FBbt:00050106).</t>
        </is>
      </c>
      <c r="E74" t="inlineStr">
        <is>
          <t>Yu et al., 2013, Curr. Biol. 23(8): 633--643 (flybase.org/reports/FBrf0221412); Ito et al., 2013, Curr. Biol. 23(8): 644--655 (flybase.org/reports/FBrf0221438)</t>
        </is>
      </c>
      <c r="F74" t="inlineStr"/>
      <c r="G74" t="inlineStr"/>
      <c r="H74" t="inlineStr"/>
    </row>
    <row r="75">
      <c r="A75">
        <f>HYPERLINK("https://www.ebi.ac.uk/ols/ontologies/fbbt/terms?iri=http://purl.obolibrary.org/obo/FBbt_00111018","FBbt:00111018")</f>
        <v/>
      </c>
      <c r="B75" t="inlineStr">
        <is>
          <t>dopaminergic PAM neuron 6</t>
        </is>
      </c>
      <c r="C75" t="inlineStr">
        <is>
          <t>["PAM-beta'2m", 'PAM-06</t>
        </is>
      </c>
      <c r="D75" t="inlineStr">
        <is>
          <t>A dopaminergic neuron of the PAM cluster that projects bilaterally to the middle layer of the beta' lobe slice 2. Dendritic terminals are found in the superior medial and intermediate protocerebrum and crepine. There are between 12-15 neurons of this type per hemisphere.</t>
        </is>
      </c>
      <c r="E75" t="inlineStr">
        <is>
          <t>Aso et al., 2014, eLife 3: e04577 (flybase.org/reports/FBrf0227179)</t>
        </is>
      </c>
      <c r="F75" t="inlineStr"/>
      <c r="G75" t="inlineStr"/>
      <c r="H75" t="inlineStr"/>
    </row>
    <row r="76">
      <c r="A76">
        <f>HYPERLINK("https://www.ebi.ac.uk/ols/ontologies/fbbt/terms?iri=http://purl.obolibrary.org/obo/FBbt_00110034","FBbt:00110034")</f>
        <v/>
      </c>
      <c r="B76" t="inlineStr">
        <is>
          <t>dorsal anterior lateral neuron of the protocerebrum</t>
        </is>
      </c>
      <c r="C76" t="inlineStr">
        <is>
          <t>DAL neuron</t>
        </is>
      </c>
      <c r="D76" t="inlineStr">
        <is>
          <t>A neuron whose cell body is located in the adult dorsal anteriolateral protocerebrum (Xia et al., 2005), extending its dendrites mainly in the superior dorsofrontal protocerebrum. It projects its axons in three different regions: where the dendritic tree is located and in the dorsolateral and inferior dorsofrontal protocerebrum domains. It establishes synaptic contacts with the pioneer mushroom body alpha/beta neurons in a small dorsal frontal domain of the mushroom body calyx (Chen et al., 2012). There are two pairs of DAL neurons per hemisphere (Xia et al., 2005). These neurons are involved in the retrieval of long-term memories (Chen et al., 2012) and are synapsed to mushroom body medial lobe arborizing neuron 4 and mushroom body vertical lobe arborizing neuron 3, which are also involved in long-term memory processing (Wu et al., 2017).</t>
        </is>
      </c>
      <c r="E76" t="inlineStr">
        <is>
          <t>Xia et al., 2005, Curr. Biol. 15(7): 603--615 (flybase.org/reports/FBrf0187341); Chen et al., 2012, Science 335(6069): 678--685 (flybase.org/reports/FBrf0217453); Wu et al., 2017, Sci. Rep. 7(1): 7112 (flybase.org/reports/FBrf0236302)</t>
        </is>
      </c>
      <c r="F76" t="inlineStr"/>
      <c r="G76" t="inlineStr"/>
      <c r="H76" t="inlineStr"/>
    </row>
    <row r="77">
      <c r="A77">
        <f>HYPERLINK("https://www.ebi.ac.uk/ols/ontologies/fbbt/terms?iri=http://purl.obolibrary.org/obo/FBbt_00111017","FBbt:00111017")</f>
        <v/>
      </c>
      <c r="B77" t="inlineStr">
        <is>
          <t>dopaminergic PAM neuron 5</t>
        </is>
      </c>
      <c r="C77" t="inlineStr">
        <is>
          <t>["PAM-beta'2p", 'PAM-05</t>
        </is>
      </c>
      <c r="D77" t="inlineStr">
        <is>
          <t>A dopaminergic neuron of the PAM cluster that projects bilaterally to the posterior layer of the beta' lobe slice 2. Dendritic terminals are found in the superior medial protocerebrum and crepine. There are between 14-17 neurons of this type per hemisphere.</t>
        </is>
      </c>
      <c r="E77" t="inlineStr">
        <is>
          <t>Aso et al., 2014, eLife 3: e04577 (flybase.org/reports/FBrf0227179)</t>
        </is>
      </c>
      <c r="F77" t="inlineStr"/>
      <c r="G77" t="inlineStr"/>
      <c r="H77" t="inlineStr"/>
    </row>
    <row r="78">
      <c r="A78">
        <f>HYPERLINK("https://www.ebi.ac.uk/ols/ontologies/fbbt/terms?iri=http://purl.obolibrary.org/obo/FBbt_00110429","FBbt:00110429")</f>
        <v/>
      </c>
      <c r="B78" t="inlineStr">
        <is>
          <t>adult fruitless aDT-h neuron</t>
        </is>
      </c>
      <c r="C78" t="inlineStr">
        <is>
          <t>aDT-h neuron; aDT6 neuron; mcALa neuron; median bundle neuron; fru-mcAL neuron</t>
        </is>
      </c>
      <c r="D78" t="inlineStr">
        <is>
          <t>Any neuron that develops from some neuroblast FLAa3 and expresses fruitless. These neurons have dendritic arborizations in the subesophageal zone and also project to the superior medial protocerebrum, where they have both presynaptic and postsynaptic terminals (Yu et al., 2010).</t>
        </is>
      </c>
      <c r="E78" t="inlineStr">
        <is>
          <t>Lee et al., 2000, J. Neurobiol. 43(4): 404--426 (flybase.org/reports/FBrf0128543); Kimura et al., 2008, Neuron 59(5): 759--769 (flybase.org/reports/FBrf0205974); Yu et al., 2010, Curr. Biol. 20(18): 1602--1614 (flybase.org/reports/FBrf0211884); Cachero et al., 2010, Curr. Biol. 20(18): 1589--1601 (flybase.org/reports/FBrf0211926); Yu et al., 2013, Curr. Biol. 23(8): 633--643 (flybase.org/reports/FBrf0221412); Ito et al., 2013, Curr. Biol. 23(8): 644--655 (flybase.org/reports/FBrf0221438)</t>
        </is>
      </c>
      <c r="F78" t="inlineStr"/>
      <c r="G78" t="inlineStr"/>
      <c r="H78" t="inlineStr"/>
    </row>
    <row r="79">
      <c r="A79">
        <f>HYPERLINK("https://www.ebi.ac.uk/ols/ontologies/fbbt/terms?iri=http://purl.obolibrary.org/obo/FBbt_00007333","FBbt:00007333")</f>
        <v/>
      </c>
      <c r="B79" t="inlineStr">
        <is>
          <t>AC thermosensory neuron</t>
        </is>
      </c>
      <c r="C79" t="inlineStr">
        <is>
          <t>AC neuron; anterior cell</t>
        </is>
      </c>
      <c r="D79" t="inlineStr">
        <is>
          <t>Thermosensory neuron located in the adult brain, anterior to the antennal lobe, that is necessary for warmth avoidance behavior (Hamada et al., 2008). AC thermosensory neurons innervate the antennal lobe glomerulus compartments VL2a and VL2p, with dendrites extending from the cell body. Its axon branches near the antennal lobe, projecting obliquely towards the ipsilateral posterior superior lateral protocerebrum before branching again to give extensive symmetrical arborizations in the superior medial protocerebrum in both hemispheres. The AC neurons are serotonergic (Shih and Chiang, 2011).</t>
        </is>
      </c>
      <c r="E79" t="inlineStr">
        <is>
          <t>Hamada et al., 2008, Nature 454(7201): 217--220 (flybase.org/reports/FBrf0205189); Shih and Chiang, 2011, J. Neurogenet. 25(1-2): 1--6 (flybase.org/reports/FBrf0213700)</t>
        </is>
      </c>
      <c r="F79" t="inlineStr"/>
      <c r="G79" t="inlineStr"/>
      <c r="H79" t="inlineStr"/>
    </row>
    <row r="80">
      <c r="A80">
        <f>HYPERLINK("https://www.ebi.ac.uk/ols/ontologies/fbbt/terms?iri=http://purl.obolibrary.org/obo/FBbt_00111416","FBbt:00111416")</f>
        <v/>
      </c>
      <c r="B80" t="inlineStr">
        <is>
          <t>EB-IDFP DSB-PB slice 5 neuron</t>
        </is>
      </c>
      <c r="C80" t="inlineStr">
        <is>
          <t>EBR1C,O,P; L2C,O,P&gt;EBL1C,O,P-IDFPR-DSB-PBL4; EBL1C,O,P; R2C,O,P&gt;EBR1C,O,P-IDFPL-DSB-PBR4</t>
        </is>
      </c>
      <c r="D80" t="inlineStr">
        <is>
          <t>Small field neuron of the central complex with dendritic and axonal arbors in the inner, outer and posterior ellipsoid body layers of slice 1 and contralateral slice 2, and axon terminals in the contralateral ellipsoid body inner, outer and posterior ellipsoid body layers of slice 1, the ipsilateral dorsal gall (dorsal spindle body of the IDFP) and contralateral protocerebral bridge slice 5.</t>
        </is>
      </c>
      <c r="E80" t="inlineStr">
        <is>
          <t>Lin et al., 2013, Cell Rep. 3(5): 1739--1753 (flybase.org/reports/FBrf0221742); Wolff et al., 2015, J. Comp. Neurol. 523(7): 997--1037 (flybase.org/reports/FBrf0227801)</t>
        </is>
      </c>
      <c r="F80" t="inlineStr"/>
      <c r="G80" t="inlineStr"/>
      <c r="H80" t="inlineStr"/>
    </row>
    <row r="81">
      <c r="A81">
        <f>HYPERLINK("https://www.ebi.ac.uk/ols/ontologies/fbbt/terms?iri=http://purl.obolibrary.org/obo/FBbt_00111020","FBbt:00111020")</f>
        <v/>
      </c>
      <c r="B81" t="inlineStr">
        <is>
          <t>dopaminergic PAM neuron 8</t>
        </is>
      </c>
      <c r="C81" t="inlineStr">
        <is>
          <t>PAM-gamma4; PAM-08</t>
        </is>
      </c>
      <c r="D81" t="inlineStr">
        <is>
          <t>A dopaminergic neuron of the PAM cluster that projects to the gamma lobe slice 4, with dendritic arborizations found in the superior medial protocerebrum and crepine.</t>
        </is>
      </c>
      <c r="E81" t="inlineStr">
        <is>
          <t>Aso et al., 2014, eLife 3: e04577 (flybase.org/reports/FBrf0227179)</t>
        </is>
      </c>
      <c r="F81" t="inlineStr"/>
      <c r="G81" t="inlineStr"/>
      <c r="H81" t="inlineStr"/>
    </row>
    <row r="82">
      <c r="A82">
        <f>HYPERLINK("https://www.ebi.ac.uk/ols/ontologies/fbbt/terms?iri=http://purl.obolibrary.org/obo/FBbt_00111415","FBbt:00111415")</f>
        <v/>
      </c>
      <c r="B82" t="inlineStr">
        <is>
          <t>EB-IDFP DSB-PB slice 3 neuron</t>
        </is>
      </c>
      <c r="C82" t="inlineStr">
        <is>
          <t>EBL3C,O,P; L5C,O,P&gt;EBL4C,O,P-IDFPL-DSB-PBR2; EBR3C,O,P; R5C,O,P&gt;EBR4C,O,P-IDFPR-DSB-PBL2</t>
        </is>
      </c>
      <c r="D82" t="inlineStr">
        <is>
          <t>Small field neuron of the central complex with dendritic and axonal arbors in the inner, outer and posterior ellipsoid body layers of slice 3 and contralateral slice 5, and axon terminals in the ipsilateral ellipsoid body inner, outer and posterior ellipsoid body layers of slice 4, the ipsilateral dorsal gall (dorsal spindle body of the IDFP) and contralateral protocerebral bridge slice 3.</t>
        </is>
      </c>
      <c r="E82" t="inlineStr">
        <is>
          <t>Lin et al., 2013, Cell Rep. 3(5): 1739--1753 (flybase.org/reports/FBrf0221742); Wolff et al., 2015, J. Comp. Neurol. 523(7): 997--1037 (flybase.org/reports/FBrf0227801)</t>
        </is>
      </c>
      <c r="F82" t="inlineStr"/>
      <c r="G82" t="inlineStr"/>
      <c r="H82" t="inlineStr"/>
    </row>
    <row r="83">
      <c r="A83">
        <f>HYPERLINK("https://www.ebi.ac.uk/ols/ontologies/fbbt/terms?iri=http://purl.obolibrary.org/obo/FBbt_00110577","FBbt:00110577")</f>
        <v/>
      </c>
      <c r="B83" t="inlineStr">
        <is>
          <t>adult MBp lineage neuron</t>
        </is>
      </c>
      <c r="C83" t="inlineStr">
        <is>
          <t>MB neuron</t>
        </is>
      </c>
      <c r="D83" t="inlineStr">
        <is>
          <t>Any neuron (FBbt:00005106) that is part of some adult brain (FBbt:00003624) and that develops from some mushroom body neuroblast (FBbt:00007113).</t>
        </is>
      </c>
      <c r="E83" t="inlineStr">
        <is>
          <t>Yu et al., 2013, Curr. Biol. 23(8): 633--643 (flybase.org/reports/FBrf0221412); Ito et al., 2013, Curr. Biol. 23(8): 644--655 (flybase.org/reports/FBrf0221438)</t>
        </is>
      </c>
      <c r="F83" t="inlineStr"/>
      <c r="G83" t="inlineStr"/>
      <c r="H83" t="inlineStr"/>
    </row>
    <row r="84">
      <c r="A84">
        <f>HYPERLINK("https://www.ebi.ac.uk/ols/ontologies/fbbt/terms?iri=http://purl.obolibrary.org/obo/FBbt_00111414","FBbt:00111414")</f>
        <v/>
      </c>
      <c r="B84" t="inlineStr">
        <is>
          <t>EB-IDFP DSB-PB 1 glomerulus neuron</t>
        </is>
      </c>
      <c r="C84" t="inlineStr">
        <is>
          <t>E-PG neuron; EBC,O,P&gt;EBC,O,P-IDFPR-DSB-PB1-glomerulus; compass neuron; ellipsoid body-protocerebral bridge and gall neuron; EBC,O,P&gt;EBC,O,P-IDFPL-DSB-PB1-glomerulus; PBG1-8.b-EBw.s-Dgall.b neuron</t>
        </is>
      </c>
      <c r="D84" t="inlineStr">
        <is>
          <t>Small field neuron of the central complex with dendritic and axonal arbors in the inner, outer and posterior ellipsoid body layers, and axon terminals in the ipsi- or contralateral dorsal gall (dorsal spindle body of the IDFP) and one odd-numbered protocerebral bridge slice (except slice 9).</t>
        </is>
      </c>
      <c r="E84" t="inlineStr">
        <is>
          <t>Lin et al., 2013, Cell Rep. 3(5): 1739--1753 (flybase.org/reports/FBrf0221742); Wolff et al., 2015, J. Comp. Neurol. 523(7): 997--1037 (flybase.org/reports/FBrf0227801)</t>
        </is>
      </c>
      <c r="F84" t="inlineStr"/>
      <c r="G84" t="inlineStr"/>
      <c r="H84" t="inlineStr"/>
    </row>
    <row r="85">
      <c r="A85">
        <f>HYPERLINK("https://www.ebi.ac.uk/ols/ontologies/fbbt/terms?iri=http://purl.obolibrary.org/obo/FBbt_00040000","FBbt:00040000")</f>
        <v/>
      </c>
      <c r="B85" t="inlineStr">
        <is>
          <t>adult antennal lobe projection neuron DC3 adPN</t>
        </is>
      </c>
      <c r="C85" t="inlineStr">
        <is>
          <t>DC3 adPN; mALT (DC3); iACT (DC3)</t>
        </is>
      </c>
      <c r="D85" t="inlineStr">
        <is>
          <t>Antennal lobe projection neuron from the ad neuroblast lineage whose dendrites innervate only antennal lobe glomerulus DC3. Neurons of this class are derived from the sixth larval division of the neuroblast ALad1 (FBbt:00067346) (Yu et al., 2010). The axons of these neurons innervate a small area at the anterior edge of the lateral horn, in a similar region to VL2a and VA1lm PNs.</t>
        </is>
      </c>
      <c r="E85" t="inlineStr">
        <is>
          <t>Tanaka et al., 2004, Curr. Biol. 14(6): 449--457 (flybase.org/reports/FBrf0174482); Jefferis et al., 2007, Cell 128(6): 1187--1203 (flybase.org/reports/FBrf0203179); Berdnik et al., 2008, Curr. Biol. 18(22): 1754--1759 (flybase.org/reports/FBrf0206335); Yu et al., 2010, PLoS Biol. 8(8): (flybase.org/reports/FBrf0211729); Ronderos et al., 2014, J. Neurosci. 34(11): 3959--3968 (flybase.org/reports/FBrf0224383)</t>
        </is>
      </c>
      <c r="F85" t="inlineStr"/>
      <c r="G85" t="inlineStr"/>
      <c r="H85" t="inlineStr"/>
    </row>
    <row r="86">
      <c r="A86">
        <f>HYPERLINK("https://www.ebi.ac.uk/ols/ontologies/fbbt/terms?iri=http://purl.obolibrary.org/obo/FBbt_00111413","FBbt:00111413")</f>
        <v/>
      </c>
      <c r="B86" t="inlineStr">
        <is>
          <t>EB-IDFP DSB-PB 2 glomeruli neuron</t>
        </is>
      </c>
      <c r="C86" t="inlineStr">
        <is>
          <t>EBC,O,P&gt;EBC,O,P-IDFPR-DSB-PB2-glomeruli; EBC,O,P&gt;EBC,O,P-IDFPL-DSB-PB2-glomeruli; EBL7C,O,P; R8C,O,P&gt;EBL8C,O,P-IDFPL-DSB-PBR1,L1; EBR7C,O,P; L8C,O,P&gt;EBR8C,O,P-IDFPR-DSB-PBR1,L1</t>
        </is>
      </c>
      <c r="D86" t="inlineStr">
        <is>
          <t>Small field neuron of the central complex with dendritic arbors in the inner, outer and posterior ellipsoid body layers of slices 7 and 8, and axon terminals in the ipsilateral ellipsoid body inner, outer and posterior ellipsoid body layers of slice 8, the contralateral dorsal gall (dorsal spindle body of the IDFP) and both protocerebral bridge slices 1.</t>
        </is>
      </c>
      <c r="E86" t="inlineStr">
        <is>
          <t>Lin et al., 2013, Cell Rep. 3(5): 1739--1753 (flybase.org/reports/FBrf0221742); Wolff et al., 2015, J. Comp. Neurol. 523(7): 997--1037 (flybase.org/reports/FBrf0227801)</t>
        </is>
      </c>
      <c r="F86" t="inlineStr"/>
      <c r="G86" t="inlineStr"/>
      <c r="H86" t="inlineStr"/>
    </row>
    <row r="87">
      <c r="A87">
        <f>HYPERLINK("https://www.ebi.ac.uk/ols/ontologies/fbbt/terms?iri=http://purl.obolibrary.org/obo/FBbt_00007476","FBbt:00007476")</f>
        <v/>
      </c>
      <c r="B87" t="inlineStr">
        <is>
          <t>adult antennal lobe projection neuron VC1 lPN</t>
        </is>
      </c>
      <c r="C87" t="inlineStr">
        <is>
          <t>VC1 lPN; mALT (VC1); iACT (VC1)</t>
        </is>
      </c>
      <c r="D87" t="inlineStr">
        <is>
          <t>Antennal lobe projection neuron from the lateral antennal lobe neuroblast lineage whose dendrites innervate only antennal lobe glomerulus VC1. It connects to the mushroom body and lateral horn via the inner antennocerebral tract (medial antennal lobe tract) (Lin et al., 2012).</t>
        </is>
      </c>
      <c r="E87" t="inlineStr">
        <is>
          <t>Hong et al., 2009, Nat. Neurosci. 12(12): 1542--1550 (flybase.org/reports/FBrf0209355); Lin et al., 2012, PLoS Biol. 10(11): e1001425 (flybase.org/reports/FBrf0219980)</t>
        </is>
      </c>
      <c r="F87" t="inlineStr"/>
      <c r="G87" t="inlineStr"/>
      <c r="H87" t="inlineStr"/>
    </row>
    <row r="88">
      <c r="A88">
        <f>HYPERLINK("https://www.ebi.ac.uk/ols/ontologies/fbbt/terms?iri=http://purl.obolibrary.org/obo/FBbt_00110575","FBbt:00110575")</f>
        <v/>
      </c>
      <c r="B88" t="inlineStr">
        <is>
          <t>adult fruitless Mb neuron</t>
        </is>
      </c>
      <c r="C88" t="inlineStr">
        <is>
          <t>MB fruitless neuron</t>
        </is>
      </c>
      <c r="D88" t="inlineStr">
        <is>
          <t>Any neuron (FBbt:00005106) that is part of some adult fruitless Mb lineage clone (FBbt:00110574) and that is part of some adult brain (FBbt:00003624).</t>
        </is>
      </c>
      <c r="E88" t="inlineStr">
        <is>
          <t>Cachero et al., 2010, Curr. Biol. 20(18): 1589--1601 (flybase.org/reports/FBrf0211926)</t>
        </is>
      </c>
      <c r="F88" t="inlineStr"/>
      <c r="G88" t="inlineStr"/>
      <c r="H88" t="inlineStr"/>
    </row>
    <row r="89">
      <c r="A89">
        <f>HYPERLINK("https://www.ebi.ac.uk/ols/ontologies/fbbt/terms?iri=http://purl.obolibrary.org/obo/FBbt_00003994","FBbt:00003994")</f>
        <v/>
      </c>
      <c r="B89" t="inlineStr">
        <is>
          <t>giant symmetrical relay interneuron</t>
        </is>
      </c>
      <c r="C89" t="inlineStr">
        <is>
          <t>GSI; GSI</t>
        </is>
      </c>
      <c r="D89" t="inlineStr">
        <is>
          <t>A bilateral projection neuron of the adult antennal lobe with extensive dendritic arborization in both antennal lobes, extensive axonal arborizations in the posterior brain and a cell body situated in the midline of the subesophageal ganglion.</t>
        </is>
      </c>
      <c r="E89" t="inlineStr">
        <is>
          <t>Stocker et al., 1990, Cell Tissue Res. 262(1): 9--34 (flybase.org/reports/FBrf0051437)</t>
        </is>
      </c>
      <c r="F89" t="inlineStr"/>
      <c r="G89" t="inlineStr"/>
      <c r="H89" t="inlineStr"/>
    </row>
    <row r="90">
      <c r="A90">
        <f>HYPERLINK("https://www.ebi.ac.uk/ols/ontologies/fbbt/terms?iri=http://purl.obolibrary.org/obo/FBbt_00111025","FBbt:00111025")</f>
        <v/>
      </c>
      <c r="B90" t="inlineStr">
        <is>
          <t>dopaminergic PPL1 neuron 2</t>
        </is>
      </c>
      <c r="C90" t="inlineStr">
        <is>
          <t>PPL1-gamma1; PPL1-02</t>
        </is>
      </c>
      <c r="D90" t="inlineStr">
        <is>
          <t>A dopaminergic neuron of the PPL1 cluster that has sparse terminals in the gamma lobe slice 1. There is one neuron of this type in each hemisphere.</t>
        </is>
      </c>
      <c r="E90" t="inlineStr">
        <is>
          <t>Aso et al., 2014, eLife 3: e04577 (flybase.org/reports/FBrf0227179)</t>
        </is>
      </c>
      <c r="F90" t="inlineStr"/>
      <c r="G90" t="inlineStr"/>
      <c r="H90" t="inlineStr"/>
    </row>
    <row r="91">
      <c r="A91">
        <f>HYPERLINK("https://www.ebi.ac.uk/ols/ontologies/fbbt/terms?iri=http://purl.obolibrary.org/obo/FBbt_00007475","FBbt:00007475")</f>
        <v/>
      </c>
      <c r="B91" t="inlineStr">
        <is>
          <t>adult antennal lobe projection neuron DP1l adPN</t>
        </is>
      </c>
      <c r="C91" t="inlineStr">
        <is>
          <t>DP1l adPN</t>
        </is>
      </c>
      <c r="D91" t="inlineStr">
        <is>
          <t>Antennal lobe projection neuron from the ALad1 neuroblast (FBbt:00067346) lineage whose dendrites innervate only antennal lobe glomerulus DP1l.</t>
        </is>
      </c>
      <c r="E91" t="inlineStr">
        <is>
          <t>Lai et al., 2008, Development 135(17): 2883--2893 (flybase.org/reports/FBrf0205814); Yu et al., 2010, PLoS Biol. 8(8): (flybase.org/reports/FBrf0211729)</t>
        </is>
      </c>
      <c r="F91" t="inlineStr"/>
      <c r="G91" t="inlineStr"/>
      <c r="H91" t="inlineStr"/>
    </row>
    <row r="92">
      <c r="A92">
        <f>HYPERLINK("https://www.ebi.ac.uk/ols/ontologies/fbbt/terms?iri=http://purl.obolibrary.org/obo/FBbt_00111024","FBbt:00111024")</f>
        <v/>
      </c>
      <c r="B92" t="inlineStr">
        <is>
          <t>dopaminergic PAM neuron 14</t>
        </is>
      </c>
      <c r="C92" t="inlineStr">
        <is>
          <t>PAM-14', "PAM-beta'1m"]</t>
        </is>
      </c>
      <c r="D92" t="inlineStr">
        <is>
          <t>A dopaminergic neuron of the PAM cluster that projects to the middle layer of beta' lobe slice 1. Dendritic arborizations are found in the superior medial and intermediate protocerebrum and crepine.</t>
        </is>
      </c>
      <c r="E92" t="inlineStr">
        <is>
          <t>Aso et al., 2014, eLife 3: e04577 (flybase.org/reports/FBrf0227179); Shuai et al., 2015, Proc. Natl. Acad. Sci. U.S.A. 112(48): E6663--E6672 (flybase.org/reports/FBrf0230351)</t>
        </is>
      </c>
      <c r="F92" t="inlineStr"/>
      <c r="G92" t="inlineStr"/>
      <c r="H92" t="inlineStr"/>
    </row>
    <row r="93">
      <c r="A93">
        <f>HYPERLINK("https://www.ebi.ac.uk/ols/ontologies/fbbt/terms?iri=http://purl.obolibrary.org/obo/FBbt_00003993","FBbt:00003993")</f>
        <v/>
      </c>
      <c r="B93" t="inlineStr">
        <is>
          <t>fine arborization relay interneuron</t>
        </is>
      </c>
      <c r="C93" t="inlineStr">
        <is>
          <t>FAI; FAI</t>
        </is>
      </c>
      <c r="D93" t="inlineStr">
        <is>
          <t>Antennal lobe projection neuron with fine dendritic arborization throughout the antennal lobe.</t>
        </is>
      </c>
      <c r="E93" t="inlineStr">
        <is>
          <t>Stocker et al., 1990, Cell Tissue Res. 262(1): 9--34 (flybase.org/reports/FBrf0051437)</t>
        </is>
      </c>
      <c r="F93" t="inlineStr"/>
      <c r="G93" t="inlineStr"/>
      <c r="H93" t="inlineStr"/>
    </row>
    <row r="94">
      <c r="A94">
        <f>HYPERLINK("https://www.ebi.ac.uk/ols/ontologies/fbbt/terms?iri=http://purl.obolibrary.org/obo/FBbt_00050058","FBbt:00050058")</f>
        <v/>
      </c>
      <c r="B94" t="inlineStr">
        <is>
          <t>adult SLPav3 lineage neuron</t>
        </is>
      </c>
      <c r="C94" t="inlineStr">
        <is>
          <t>None</t>
        </is>
      </c>
      <c r="D94" t="inlineStr">
        <is>
          <t>Any neuron (FBbt:00005106) that is part of some adult brain (FBbt:00003624) and that develops from some neuroblast SLPav3 (FBbt:00050056).</t>
        </is>
      </c>
      <c r="E94" t="inlineStr">
        <is>
          <t>Yu et al., 2013, Curr. Biol. 23(8): 633--643 (flybase.org/reports/FBrf0221412)</t>
        </is>
      </c>
      <c r="F94" t="inlineStr"/>
      <c r="G94" t="inlineStr"/>
      <c r="H94" t="inlineStr"/>
    </row>
    <row r="95">
      <c r="A95">
        <f>HYPERLINK("https://www.ebi.ac.uk/ols/ontologies/fbbt/terms?iri=http://purl.obolibrary.org/obo/FBbt_00111419","FBbt:00111419")</f>
        <v/>
      </c>
      <c r="B95" t="inlineStr">
        <is>
          <t>EB-IDFP VSB-PB slice 2 glomerulus neuron</t>
        </is>
      </c>
      <c r="C95" t="inlineStr">
        <is>
          <t>EBL5C,O,P; L7C,O,P&gt;EBL6C,O,P-IDFPL-VSB-PBR1; EBR5C,O,P; R7C,O,P&gt;EBR6C,O,P-IDFPR-VSB-PBL1</t>
        </is>
      </c>
      <c r="D95" t="inlineStr">
        <is>
          <t>Small field neuron of the central complex with dendritic and axonal arbors in the inner, outer and posterior ellipsoid body layers of slices 5 and 7, and axon terminals in the ipsilateral ellipsoid body inner, outer and posterior ellipsoid body layers of slice 6, the ipsilateral ventral gall (ventral spindle body of the IDFP) and contralateral protocerebral bridge slice 2.</t>
        </is>
      </c>
      <c r="E95" t="inlineStr">
        <is>
          <t>Lin et al., 2013, Cell Rep. 3(5): 1739--1753 (flybase.org/reports/FBrf0221742); Wolff et al., 2015, J. Comp. Neurol. 523(7): 997--1037 (flybase.org/reports/FBrf0227801)</t>
        </is>
      </c>
      <c r="F95" t="inlineStr"/>
      <c r="G95" t="inlineStr"/>
      <c r="H95" t="inlineStr"/>
    </row>
    <row r="96">
      <c r="A96">
        <f>HYPERLINK("https://www.ebi.ac.uk/ols/ontologies/fbbt/terms?iri=http://purl.obolibrary.org/obo/FBbt_00111023","FBbt:00111023")</f>
        <v/>
      </c>
      <c r="B96" t="inlineStr">
        <is>
          <t>dopaminergic PAM neuron 13</t>
        </is>
      </c>
      <c r="C96" t="inlineStr">
        <is>
          <t>PAM-13', "PAM-beta'1ap"]</t>
        </is>
      </c>
      <c r="D96" t="inlineStr">
        <is>
          <t>A dopaminergic neuron of the PAM cluster that projects to the anterior-posterior layer of beta' lobe slice 1. Dendritic arborizations are found in the superior medial and intermediate protocerebrum and crepine. There are between 13-14 neurons of this type per hemisphere.</t>
        </is>
      </c>
      <c r="E96" t="inlineStr">
        <is>
          <t>Aso et al., 2014, eLife 3: e04577 (flybase.org/reports/FBrf0227179); Shuai et al., 2015, Proc. Natl. Acad. Sci. U.S.A. 112(48): E6663--E6672 (flybase.org/reports/FBrf0230351)</t>
        </is>
      </c>
      <c r="F96" t="inlineStr"/>
      <c r="G96" t="inlineStr"/>
      <c r="H96" t="inlineStr"/>
    </row>
    <row r="97">
      <c r="A97">
        <f>HYPERLINK("https://www.ebi.ac.uk/ols/ontologies/fbbt/terms?iri=http://purl.obolibrary.org/obo/FBbt_00050055","FBbt:00050055")</f>
        <v/>
      </c>
      <c r="B97" t="inlineStr">
        <is>
          <t>adult CLp2 lineage neuron</t>
        </is>
      </c>
      <c r="C97" t="inlineStr">
        <is>
          <t>None</t>
        </is>
      </c>
      <c r="D97" t="inlineStr">
        <is>
          <t>Any neuron (FBbt:00005106) that is part of some adult brain (FBbt:00003624) and that develops from some neuroblast CLp2 (FBbt:00050053).</t>
        </is>
      </c>
      <c r="E97" t="inlineStr">
        <is>
          <t>Yu et al., 2013, Curr. Biol. 23(8): 633--643 (flybase.org/reports/FBrf0221412)</t>
        </is>
      </c>
      <c r="F97" t="inlineStr"/>
      <c r="G97" t="inlineStr"/>
      <c r="H97" t="inlineStr"/>
    </row>
    <row r="98">
      <c r="A98">
        <f>HYPERLINK("https://www.ebi.ac.uk/ols/ontologies/fbbt/terms?iri=http://purl.obolibrary.org/obo/FBbt_00111418","FBbt:00111418")</f>
        <v/>
      </c>
      <c r="B98" t="inlineStr">
        <is>
          <t>EB-IDFP VSB-PB 1 glomerulus neuron</t>
        </is>
      </c>
      <c r="C98" t="inlineStr">
        <is>
          <t>EBC,O,P&gt;EBC,O,P-IDFPR-VSB-PB1-glomerulus; compass neuron; EBC,O,P&gt;EBC,O,P-IDFPL-VSB-PB1-glomerulus; E-PG neuron; ellipsoid body-protocerebral bridge and gall neuron; PBG1-8.b-EBw.s-Vgall.b neuron</t>
        </is>
      </c>
      <c r="D98" t="inlineStr">
        <is>
          <t>Small field neuron of the central complex with dendritic and axonal arbors in the inner, outer and posterior ellipsoid body layers, and axon terminals in the ipsilateral ventral gall (ventral spindle body of the IDFP) and one contralateral even numbered protocerebral bridge slice.</t>
        </is>
      </c>
      <c r="E98" t="inlineStr">
        <is>
          <t>Lin et al., 2013, Cell Rep. 3(5): 1739--1753 (flybase.org/reports/FBrf0221742); Wolff et al., 2015, J. Comp. Neurol. 523(7): 997--1037 (flybase.org/reports/FBrf0227801)</t>
        </is>
      </c>
      <c r="F98" t="inlineStr"/>
      <c r="G98" t="inlineStr"/>
      <c r="H98" t="inlineStr"/>
    </row>
    <row r="99">
      <c r="A99">
        <f>HYPERLINK("https://www.ebi.ac.uk/ols/ontologies/fbbt/terms?iri=http://purl.obolibrary.org/obo/FBbt_00111022","FBbt:00111022")</f>
        <v/>
      </c>
      <c r="B99" t="inlineStr">
        <is>
          <t>dopaminergic PAM neuron 11</t>
        </is>
      </c>
      <c r="C99" t="inlineStr">
        <is>
          <t>PAM-alpha1; PAM-11</t>
        </is>
      </c>
      <c r="D99" t="inlineStr">
        <is>
          <t>A dopaminergic neuron of the PAM cluster that projects to the alpha lobe slice 1 and the pedunculus. Dendritic arborizations are found in the superior medial, intermediate and lateral protocerebrum. There are less than 6 neurons of this type per hemisphere.</t>
        </is>
      </c>
      <c r="E99" t="inlineStr">
        <is>
          <t>Aso et al., 2014, eLife 3: e04577 (flybase.org/reports/FBrf0227179)</t>
        </is>
      </c>
      <c r="F99" t="inlineStr"/>
      <c r="G99" t="inlineStr"/>
      <c r="H99" t="inlineStr"/>
    </row>
    <row r="100">
      <c r="A100">
        <f>HYPERLINK("https://www.ebi.ac.uk/ols/ontologies/fbbt/terms?iri=http://purl.obolibrary.org/obo/FBbt_00110183","FBbt:00110183")</f>
        <v/>
      </c>
      <c r="B100" t="inlineStr">
        <is>
          <t>antennal mechanosensory and motor center A1 projection neuron</t>
        </is>
      </c>
      <c r="C100" t="inlineStr">
        <is>
          <t>giant intercommissural neuron; GCI; giant commissural interneuron; AMMC local neuron (giant commissural); AMMC-AV6 neuron; AMMC-A1 neuron; canonical aLN(GCI)</t>
        </is>
      </c>
      <c r="D100" t="inlineStr">
        <is>
          <t>Projection neuron whose cell body is located dorsally and posterior to the posterior lateral protocerebrum (PLP). The primary neurite projects anteriorly towards the great commissure, where it forms several branches which form postsynaptic terminals in the ipsilateral antennal mechanosensory and motor center (AMMC) zones A and B, the wedge, the anterior ventrolateral protocerebrum (AVLP), the glomerulus of the posterior ventrolateral protocerebrum where LC4 neurons arborize (PVLP) region as well as the nonglomerular region. It crosses the midline forming a very thick commissure which runs along the great commissure (superior AMMC commissure) to form presynaptic terminals in the contralateral gorget and nonglomerular region of the PVLP. It is electrically synapsed to the giant fiber neuron.</t>
        </is>
      </c>
      <c r="E100" t="inlineStr">
        <is>
          <t>Phelan et al., 1996, J. Neurosci. 16(3): 1101--1113 (flybase.org/reports/FBrf0085744); Allen et al., 2007, Genes Brain Behav. 6(4): 347--358 (flybase.org/reports/FBrf0201047); Kamikouchi et al., 2009, Nature 458(7235): 165--171 (flybase.org/reports/FBrf0207518); Murthy, 2010, Curr. Opin. Neurobiol. 20(3): 281--287 (flybase.org/reports/FBrf0211025); Clemens et al., 2015, Neuron 87(6): 1332--1343 (flybase.org/reports/FBrf0229690); Matsuo et al., 2016, J. Comp. Neurol. 524(6): 1099--1164 (flybase.org/reports/FBrf0230862)</t>
        </is>
      </c>
      <c r="F100" t="inlineStr"/>
      <c r="G100" t="inlineStr"/>
      <c r="H100" t="inlineStr"/>
    </row>
    <row r="101">
      <c r="A101">
        <f>HYPERLINK("https://www.ebi.ac.uk/ols/ontologies/fbbt/terms?iri=http://purl.obolibrary.org/obo/FBbt_00111021","FBbt:00111021")</f>
        <v/>
      </c>
      <c r="B101" t="inlineStr">
        <is>
          <t>dopaminergic PAM neuron 9</t>
        </is>
      </c>
      <c r="C101" t="inlineStr">
        <is>
          <t>PAM-beta1ped; PAM-09</t>
        </is>
      </c>
      <c r="D101" t="inlineStr">
        <is>
          <t>A dopaminergic neuron of the PAM cluster that projects to the beta lobe slice 1 and pedunculus. There are between 1-3 neurons of this type per hemisphere.</t>
        </is>
      </c>
      <c r="E101" t="inlineStr">
        <is>
          <t>Aso et al., 2014, eLife 3: e04577 (flybase.org/reports/FBrf0227179)</t>
        </is>
      </c>
      <c r="F101" t="inlineStr"/>
      <c r="G101" t="inlineStr"/>
      <c r="H101" t="inlineStr"/>
    </row>
    <row r="102">
      <c r="A102">
        <f>HYPERLINK("https://www.ebi.ac.uk/ols/ontologies/fbbt/terms?iri=http://purl.obolibrary.org/obo/FBbt_00111417","FBbt:00111417")</f>
        <v/>
      </c>
      <c r="B102" t="inlineStr">
        <is>
          <t>EB-IDFP DSB-PB slice 7 neuron</t>
        </is>
      </c>
      <c r="C102" t="inlineStr">
        <is>
          <t>EBL4C,O,P; L6C,O,P&gt;EBL5C,O,P-IDFPR-DSB-PBL6; EBR4C,O,P; R6C,O,P&gt;EBR5C,O,P-IDFPL-DSB-PBR6</t>
        </is>
      </c>
      <c r="D102" t="inlineStr">
        <is>
          <t>Small field neuron of the central complex with dendritic and axonal arbors in the inner, outer and posterior ellipsoid body layers of slices 4 and 6, and axon terminals in the ipsilateral ellipsoid body inner, outer and posterior ellipsoid body layers of slice 5, the contralateral dorsal gall (dorsal spindle body of the IDFP) and ipsilateral protocerebral bridge slice 7.</t>
        </is>
      </c>
      <c r="E102" t="inlineStr">
        <is>
          <t>Lin et al., 2013, Cell Rep. 3(5): 1739--1753 (flybase.org/reports/FBrf0221742)</t>
        </is>
      </c>
      <c r="F102" t="inlineStr"/>
      <c r="G102" t="inlineStr"/>
      <c r="H102" t="inlineStr"/>
    </row>
    <row r="103">
      <c r="A103">
        <f>HYPERLINK("https://www.ebi.ac.uk/ols/ontologies/fbbt/terms?iri=http://purl.obolibrary.org/obo/FBbt_00110570","FBbt:00110570")</f>
        <v/>
      </c>
      <c r="B103" t="inlineStr">
        <is>
          <t>adult antennal lobe projection neuron V adPN</t>
        </is>
      </c>
      <c r="C103" t="inlineStr">
        <is>
          <t>V adPN</t>
        </is>
      </c>
      <c r="D103" t="inlineStr">
        <is>
          <t>Antennal lobe projection neuron whose dendrites innervate only antennal lobe glomerulus V and projects to the anterior superior medial protocerebrum.</t>
        </is>
      </c>
      <c r="E103" t="inlineStr">
        <is>
          <t>Lin et al., 2013, Science 340(6138): 1338--1341 (flybase.org/reports/FBrf0221835)</t>
        </is>
      </c>
      <c r="F103" t="inlineStr"/>
      <c r="G103" t="inlineStr"/>
      <c r="H103" t="inlineStr"/>
    </row>
    <row r="104">
      <c r="A104">
        <f>HYPERLINK("https://www.ebi.ac.uk/ols/ontologies/fbbt/terms?iri=http://purl.obolibrary.org/obo/FBbt_00050111","FBbt:00050111")</f>
        <v/>
      </c>
      <c r="B104" t="inlineStr">
        <is>
          <t>adult VESa2 lineage neuron</t>
        </is>
      </c>
      <c r="C104" t="inlineStr">
        <is>
          <t>None</t>
        </is>
      </c>
      <c r="D104" t="inlineStr">
        <is>
          <t>Any neuron (FBbt:00005106) that is part of some adult brain (FBbt:00003624) and that develops from some neuroblast VESa2 (FBbt:00050109).</t>
        </is>
      </c>
      <c r="E104" t="inlineStr">
        <is>
          <t>Yu et al., 2013, Curr. Biol. 23(8): 633--643 (flybase.org/reports/FBrf0221412)</t>
        </is>
      </c>
      <c r="F104" t="inlineStr"/>
      <c r="G104" t="inlineStr"/>
      <c r="H104" t="inlineStr"/>
    </row>
    <row r="105">
      <c r="A105">
        <f>HYPERLINK("https://www.ebi.ac.uk/ols/ontologies/fbbt/terms?iri=http://purl.obolibrary.org/obo/FBbt_00050257","FBbt:00050257")</f>
        <v/>
      </c>
      <c r="B105" t="inlineStr">
        <is>
          <t>adult LHl3 lineage neuron</t>
        </is>
      </c>
      <c r="C105" t="inlineStr">
        <is>
          <t>None</t>
        </is>
      </c>
      <c r="D105" t="inlineStr">
        <is>
          <t>Any neuron (FBbt:00005106) that is part of some adult brain (FBbt:00003624) and that develops from some neuroblast LHl3 (FBbt:00050255).</t>
        </is>
      </c>
      <c r="E105" t="inlineStr">
        <is>
          <t>Yu et al., 2013, Curr. Biol. 23(8): 633--643 (flybase.org/reports/FBrf0221412); Ito et al., 2013, Curr. Biol. 23(8): 644--655 (flybase.org/reports/FBrf0221438)</t>
        </is>
      </c>
      <c r="F105" t="inlineStr"/>
      <c r="G105" t="inlineStr"/>
      <c r="H105" t="inlineStr"/>
    </row>
    <row r="106">
      <c r="A106">
        <f>HYPERLINK("https://www.ebi.ac.uk/ols/ontologies/fbbt/terms?iri=http://purl.obolibrary.org/obo/FBbt_00003859","FBbt:00003859")</f>
        <v/>
      </c>
      <c r="B106" t="inlineStr">
        <is>
          <t>lobula tangential neuron</t>
        </is>
      </c>
      <c r="C106" t="inlineStr">
        <is>
          <t>Lt; lobular tangential neuron</t>
        </is>
      </c>
      <c r="D106" t="inlineStr">
        <is>
          <t>Tangential neuron of the optic lobe that projects and arborizes along the plane of one or more layers of the lobula.</t>
        </is>
      </c>
      <c r="E106" t="inlineStr">
        <is>
          <t>Fischbach and Dittrich, 1989, Cell Tissue Res. 258(3): 441--475 (flybase.org/reports/FBrf0049410)</t>
        </is>
      </c>
      <c r="F106" t="inlineStr"/>
      <c r="G106" t="inlineStr"/>
      <c r="H106" t="inlineStr"/>
    </row>
    <row r="107">
      <c r="A107">
        <f>HYPERLINK("https://www.ebi.ac.uk/ols/ontologies/fbbt/terms?iri=http://purl.obolibrary.org/obo/FBbt_00110379","FBbt:00110379")</f>
        <v/>
      </c>
      <c r="B107" t="inlineStr">
        <is>
          <t>adult VLPd2 lineage neuron</t>
        </is>
      </c>
      <c r="C107" t="inlineStr">
        <is>
          <t>None</t>
        </is>
      </c>
      <c r="D107" t="inlineStr">
        <is>
          <t>Any neuron (FBbt:00005106) that is part of some adult brain (FBbt:00003624) and that develops from some neuroblast VLPd2 (FBbt:00110377).</t>
        </is>
      </c>
      <c r="E107" t="inlineStr">
        <is>
          <t>Ito et al., 2013, Curr. Biol. 23(8): 644--655 (flybase.org/reports/FBrf0221438)</t>
        </is>
      </c>
      <c r="F107" t="inlineStr"/>
      <c r="G107" t="inlineStr"/>
      <c r="H107" t="inlineStr"/>
    </row>
    <row r="108">
      <c r="A108">
        <f>HYPERLINK("https://www.ebi.ac.uk/ols/ontologies/fbbt/terms?iri=http://purl.obolibrary.org/obo/FBbt_00110629","FBbt:00110629")</f>
        <v/>
      </c>
      <c r="B108" t="inlineStr">
        <is>
          <t>antennal mechanosensory and motor center local AMMC-AMMC 1 neuron</t>
        </is>
      </c>
      <c r="C108" t="inlineStr">
        <is>
          <t>antennal mechanosensory and motor center AMMC-AMMC projection neuron 1; aLN(m); AMMC-AMMC PN1; AMMC local neuron (medial)</t>
        </is>
      </c>
      <c r="D108" t="inlineStr">
        <is>
          <t>Commissural projection neuron that innervates both the ipsi- and contralateral zones A and B of the antennal mechanosensory and motor center (AMMC). It expresses fruitless and it is a GABAergic neuron.</t>
        </is>
      </c>
      <c r="E108" t="inlineStr">
        <is>
          <t>Lai et al., 2012, Proc. Natl. Acad. Sci. U.S.A. 109(7): 2607--2612 (flybase.org/reports/FBrf0217491); Vaughan et al., 2014, Curr. Biol. 24(10): 1039--1049 (flybase.org/reports/FBrf0225096)</t>
        </is>
      </c>
      <c r="F108" t="inlineStr"/>
      <c r="G108" t="inlineStr"/>
      <c r="H108" t="inlineStr"/>
    </row>
    <row r="109">
      <c r="A109">
        <f>HYPERLINK("https://www.ebi.ac.uk/ols/ontologies/fbbt/terms?iri=http://purl.obolibrary.org/obo/FBbt_00110573","FBbt:00110573")</f>
        <v/>
      </c>
      <c r="B109" t="inlineStr">
        <is>
          <t>adult fruitless aIP-i neuron</t>
        </is>
      </c>
      <c r="C109" t="inlineStr">
        <is>
          <t>aIP-i neuron</t>
        </is>
      </c>
      <c r="D109" t="inlineStr">
        <is>
          <t>Any neuron (FBbt:00005106) that is part of some adult fruitless aIP-i lineage clone (FBbt:00110572) and that is part of some adult brain (FBbt:00003624).</t>
        </is>
      </c>
      <c r="E109" t="inlineStr">
        <is>
          <t>Cachero et al., 2010, Curr. Biol. 20(18): 1589--1601 (flybase.org/reports/FBrf0211926)</t>
        </is>
      </c>
      <c r="F109" t="inlineStr"/>
      <c r="G109" t="inlineStr"/>
      <c r="H109" t="inlineStr"/>
    </row>
    <row r="110">
      <c r="A110">
        <f>HYPERLINK("https://www.ebi.ac.uk/ols/ontologies/fbbt/terms?iri=http://purl.obolibrary.org/obo/FBbt_00050254","FBbt:00050254")</f>
        <v/>
      </c>
      <c r="B110" t="inlineStr">
        <is>
          <t>adult DM4 lineage neuron</t>
        </is>
      </c>
      <c r="C110" t="inlineStr">
        <is>
          <t>None</t>
        </is>
      </c>
      <c r="D110" t="inlineStr">
        <is>
          <t>Any neuron (FBbt:00005106) that is part of some adult brain (FBbt:00003624) and that develops from some neuroblast DM4 (FBbt:00050252).</t>
        </is>
      </c>
      <c r="E110" t="inlineStr">
        <is>
          <t>Viktorin et al., 2011, Dev. Biol. 356(2): 553--565 (flybase.org/reports/FBrf0214495); Yu et al., 2013, Curr. Biol. 23(8): 633--643 (flybase.org/reports/FBrf0221412); Ito et al., 2013, Curr. Biol. 23(8): 644--655 (flybase.org/reports/FBrf0221438)</t>
        </is>
      </c>
      <c r="F110" t="inlineStr"/>
      <c r="G110" t="inlineStr"/>
      <c r="H110" t="inlineStr"/>
    </row>
    <row r="111">
      <c r="A111">
        <f>HYPERLINK("https://www.ebi.ac.uk/ols/ontologies/fbbt/terms?iri=http://purl.obolibrary.org/obo/FBbt_00050251","FBbt:00050251")</f>
        <v/>
      </c>
      <c r="B111" t="inlineStr">
        <is>
          <t>adult VPNp1 lineage neuron</t>
        </is>
      </c>
      <c r="C111" t="inlineStr">
        <is>
          <t>adult DC lineage neuron; adult BLD5 lineage neuron</t>
        </is>
      </c>
      <c r="D111" t="inlineStr">
        <is>
          <t>Any neuron (FBbt:00005106) that is part of some adult brain (FBbt:00003624) and that develops from some neuroblast VPNp1 (FBbt:00050249).</t>
        </is>
      </c>
      <c r="E111" t="inlineStr">
        <is>
          <t>Yu et al., 2013, Curr. Biol. 23(8): 633--643 (flybase.org/reports/FBrf0221412); Ito et al., 2013, Curr. Biol. 23(8): 644--655 (flybase.org/reports/FBrf0221438)</t>
        </is>
      </c>
      <c r="F111" t="inlineStr"/>
      <c r="G111" t="inlineStr"/>
      <c r="H111" t="inlineStr"/>
    </row>
    <row r="112">
      <c r="A112">
        <f>HYPERLINK("https://www.ebi.ac.uk/ols/ontologies/fbbt/terms?iri=http://purl.obolibrary.org/obo/FBbt_00110121","FBbt:00110121")</f>
        <v/>
      </c>
      <c r="B112" t="inlineStr">
        <is>
          <t>antennal mechanosensory and motor center B1a projection neuron</t>
        </is>
      </c>
      <c r="C112" t="inlineStr">
        <is>
          <t>AMMC-B1a neuron; AMMC-B1a neuron; AMMC-B1a PN</t>
        </is>
      </c>
      <c r="D112" t="inlineStr">
        <is>
          <t>Projection neuron whose cell body is located dorsally to the antennal mechanosensory and motor center (AMMC) and innervates the AMMC zone B and both the ipsilateral and the contralateral inferior ventrolateral protocerebrum (IVLP) regions. These neurons receive input in the AMMC zone B and establish presynaptic connections in the lateral region of the IVLP. These neurons are activated by an acoustic stimuli and are narrowly tuned to respond to 100 Hz stimuli (Lai et al., 2012).</t>
        </is>
      </c>
      <c r="E112" t="inlineStr">
        <is>
          <t>Lai et al., 2012, Proc. Natl. Acad. Sci. U.S.A. 109(7): 2607--2612 (flybase.org/reports/FBrf0217491); Vaughan et al., 2014, Curr. Biol. 24(10): 1039--1049 (flybase.org/reports/FBrf0225096)</t>
        </is>
      </c>
      <c r="F112" t="inlineStr"/>
      <c r="G112" t="inlineStr"/>
      <c r="H112" t="inlineStr"/>
    </row>
    <row r="113">
      <c r="A113">
        <f>HYPERLINK("https://www.ebi.ac.uk/ols/ontologies/fbbt/terms?iri=http://purl.obolibrary.org/obo/FBbt_00048266","FBbt:00048266")</f>
        <v/>
      </c>
      <c r="B113" t="inlineStr">
        <is>
          <t>dopaminergic GNG neuron</t>
        </is>
      </c>
      <c r="C113" t="inlineStr">
        <is>
          <t>dopaminergic SB neuron; ventral dopaminergic SOG neuron</t>
        </is>
      </c>
      <c r="D113" t="inlineStr">
        <is>
          <t>A dopaminergic neuron whose cell body is located in a cluster of 4 cell bodies in the ventral gnathal ganglion.</t>
        </is>
      </c>
      <c r="E113" t="inlineStr">
        <is>
          <t>Marella et al., 2012, Neuron 73(5): 941--950 (flybase.org/reports/FBrf0217751); Xie et al., 2018, Cell Rep. 23(2): 652--665 (flybase.org/reports/FBrf0238545)</t>
        </is>
      </c>
      <c r="F113" t="inlineStr"/>
      <c r="G113" t="inlineStr"/>
      <c r="H113" t="inlineStr"/>
    </row>
    <row r="114">
      <c r="A114">
        <f>HYPERLINK("https://www.ebi.ac.uk/ols/ontologies/fbbt/terms?iri=http://purl.obolibrary.org/obo/FBbt_00110120","FBbt:00110120")</f>
        <v/>
      </c>
      <c r="B114" t="inlineStr">
        <is>
          <t>antennal mechanosensory and motor center B1 projection neuron</t>
        </is>
      </c>
      <c r="C114" t="inlineStr">
        <is>
          <t>aPN1a,b neuron; aPN1 neuron; AMMC-B1 neuron; AMMC-B1 PN; AMMC projection neuron 1</t>
        </is>
      </c>
      <c r="D114" t="inlineStr">
        <is>
          <t>Projection neuron whose cell body is located dorsally to the antennal mechanosensory and motor center (AMMC). The primary neurite projects medially and makes a steep turn ventrally to form two branches dorsal to the AMMC. The ventrolateral branch forms postsynaptic terminals in the AMMC zone B. The dorsal branch bifurcates in the ipsilateral epaulette, projecting above the esophagus, to form presynaptic terminals both the ipsilateral and the contralateral wedge. These neurons are activated by an acoustic stimuli and two subtypes can be recognized, AMMC-B1a and AMMC-B1b, which differ with respect to JO neuron connectivity and auditory response. The former responds to 100 Hz stimuli and the latter responds to 100 and 300 Hz stimuli (Lai et al., 2012).</t>
        </is>
      </c>
      <c r="E114" t="inlineStr">
        <is>
          <t>Lai et al., 2012, Proc. Natl. Acad. Sci. U.S.A. 109(7): 2607--2612 (flybase.org/reports/FBrf0217491); Zhou et al., 2015, eLife 4: e08477 (flybase.org/reports/FBrf0229653); Matsuo et al., 2016, J. Comp. Neurol. 524(6): 1099--1164 (flybase.org/reports/FBrf0230862)</t>
        </is>
      </c>
      <c r="F114" t="inlineStr"/>
      <c r="G114" t="inlineStr"/>
      <c r="H114" t="inlineStr"/>
    </row>
    <row r="115">
      <c r="A115">
        <f>HYPERLINK("https://www.ebi.ac.uk/ols/ontologies/fbbt/terms?iri=http://purl.obolibrary.org/obo/FBbt_00050117","FBbt:00050117")</f>
        <v/>
      </c>
      <c r="B115" t="inlineStr">
        <is>
          <t>adult LHd2 lineage neuron</t>
        </is>
      </c>
      <c r="C115" t="inlineStr">
        <is>
          <t>None</t>
        </is>
      </c>
      <c r="D115" t="inlineStr">
        <is>
          <t>Any neuron (FBbt:00005106) that is part of some adult brain (FBbt:00003624) and that develops from some neuroblast LHd2 (FBbt:00050115).</t>
        </is>
      </c>
      <c r="E115" t="inlineStr">
        <is>
          <t>Yu et al., 2013, Curr. Biol. 23(8): 633--643 (flybase.org/reports/FBrf0221412)</t>
        </is>
      </c>
      <c r="F115" t="inlineStr"/>
      <c r="G115" t="inlineStr"/>
      <c r="H115" t="inlineStr"/>
    </row>
    <row r="116">
      <c r="A116">
        <f>HYPERLINK("https://www.ebi.ac.uk/ols/ontologies/fbbt/terms?iri=http://purl.obolibrary.org/obo/FBbt_00110994","FBbt:00110994")</f>
        <v/>
      </c>
      <c r="B116" t="inlineStr">
        <is>
          <t>dopaminergic PAM neuron 10</t>
        </is>
      </c>
      <c r="C116" t="inlineStr">
        <is>
          <t>PAM-10; PAM-beta1</t>
        </is>
      </c>
      <c r="D116" t="inlineStr">
        <is>
          <t>A mushroom body medial lobe arborizing neuron 8 (MB-M8) of the dopaminergic PAM cluster that projects bilaterally to the surface and core layers of the beta lobe slice 1. Dendritic arborizations are found in the superior intermediate and lateral protocerebrum. There are between 4-6 neurons of this type per hemisphere.</t>
        </is>
      </c>
      <c r="E116" t="inlineStr">
        <is>
          <t>Aso et al., 2014, eLife 3: e04577 (flybase.org/reports/FBrf0227179)</t>
        </is>
      </c>
      <c r="F116" t="inlineStr"/>
      <c r="G116" t="inlineStr"/>
      <c r="H116" t="inlineStr"/>
    </row>
    <row r="117">
      <c r="A117">
        <f>HYPERLINK("https://www.ebi.ac.uk/ols/ontologies/fbbt/terms?iri=http://purl.obolibrary.org/obo/FBbt_00110993","FBbt:00110993")</f>
        <v/>
      </c>
      <c r="B117" t="inlineStr">
        <is>
          <t>dopaminergic PAM neuron 4</t>
        </is>
      </c>
      <c r="C117" t="inlineStr">
        <is>
          <t>PAM-beta2; PAM-04</t>
        </is>
      </c>
      <c r="D117" t="inlineStr">
        <is>
          <t>A mushroom body medial lobe arborizing neuron 8 (MB-M8) of the dopaminergic PAM cluster that projects bilaterally to the beta lobe slice 2. Dendritic arborizations are found in the superior intermediate and lateral protocerebrum. There are between 8-19 neurons of this type per hemisphere.</t>
        </is>
      </c>
      <c r="E117" t="inlineStr">
        <is>
          <t>Aso et al., 2014, eLife 3: e04577 (flybase.org/reports/FBrf0227179)</t>
        </is>
      </c>
      <c r="F117" t="inlineStr"/>
      <c r="G117" t="inlineStr"/>
      <c r="H117" t="inlineStr"/>
    </row>
    <row r="118">
      <c r="A118">
        <f>HYPERLINK("https://www.ebi.ac.uk/ols/ontologies/fbbt/terms?iri=http://purl.obolibrary.org/obo/FBbt_00111443","FBbt:00111443")</f>
        <v/>
      </c>
      <c r="B118" t="inlineStr">
        <is>
          <t>PB 1 glomerulus-FB layers 1 to 4-IDFP HB-medial neuron</t>
        </is>
      </c>
      <c r="C118" t="inlineStr">
        <is>
          <t>PB1-glomerulus-FBc,d,e,f&gt;IDFPL-HB-medial; PB1-glomerulus-FBc,d,e,f&gt;IDFPR-HB-medial</t>
        </is>
      </c>
      <c r="D118" t="inlineStr">
        <is>
          <t>Small field neuron of the central complex with dendritic arbors in one protocerebral bridge slice and in the ipsi- or contralateral two segment pairs of the fan-shaped body layers 1 to 4 (layers c to f), and axon terminals in the ipsi- or contralateral crepine (medial hammer body).</t>
        </is>
      </c>
      <c r="E118" t="inlineStr">
        <is>
          <t>Lin et al., 2013, Cell Rep. 3(5): 1739--1753 (flybase.org/reports/FBrf0221742)</t>
        </is>
      </c>
      <c r="F118" t="inlineStr"/>
      <c r="G118" t="inlineStr"/>
      <c r="H118" t="inlineStr"/>
    </row>
    <row r="119">
      <c r="A119">
        <f>HYPERLINK("https://www.ebi.ac.uk/ols/ontologies/fbbt/terms?iri=http://purl.obolibrary.org/obo/FBbt_00110125","FBbt:00110125")</f>
        <v/>
      </c>
      <c r="B119" t="inlineStr">
        <is>
          <t>inferior ventrolateral protocerebrum local IVLP-IVLP neuron</t>
        </is>
      </c>
      <c r="C119" t="inlineStr">
        <is>
          <t>AV4 neuron; wedge-wedge PN; IVLP-IVLP neuron; AMMC-VLP4 neuron; IVLP-IVLP PN; inferior ventrolateral protocerebrum commissural IVLP-IVLP neuron</t>
        </is>
      </c>
      <c r="D119" t="inlineStr">
        <is>
          <t>Neuron whose cell body is located in the ventromedial subesophageal region and innervates the ipsilateral inferior ventrolateral protocerebrum (IVLP) in both hemispheres, with pre- and postsynaptic sites found in this region. These neurons receive input from AMMC-B1b projection neurons in the IVLP. IVLP-IVLP are GABAergic neurons and are activated by an acoustic stimuli of 100Hz, 300Hz or pulse song stimuli (Lai et al., 2012).</t>
        </is>
      </c>
      <c r="E119" t="inlineStr">
        <is>
          <t>Lai et al., 2012, Proc. Natl. Acad. Sci. U.S.A. 109(7): 2607--2612 (flybase.org/reports/FBrf0217491)</t>
        </is>
      </c>
      <c r="F119" t="inlineStr"/>
      <c r="G119" t="inlineStr"/>
      <c r="H119" t="inlineStr"/>
    </row>
    <row r="120">
      <c r="A120">
        <f>HYPERLINK("https://www.ebi.ac.uk/ols/ontologies/fbbt/terms?iri=http://purl.obolibrary.org/obo/FBbt_00111442","FBbt:00111442")</f>
        <v/>
      </c>
      <c r="B120" t="inlineStr">
        <is>
          <t>PB 2 glomeruli-FB layers 1 to 4-IDFP HB-medial neuron</t>
        </is>
      </c>
      <c r="C120" t="inlineStr">
        <is>
          <t>PB2-glomeruli-FBc,d,e,f&gt;IDFPL-HB-medial</t>
        </is>
      </c>
      <c r="D120" t="inlineStr">
        <is>
          <t>Small field neuron of the central complex with dendritic arbors in both protocerebral bridge slices 2 and in the contralateral two segment pairs Y and X (columns 2 and 3) of the fan-shaped body layers 1 to 4 (layers c to f), and axon terminals in the contralateral crepine (medial hammer body).</t>
        </is>
      </c>
      <c r="E120" t="inlineStr">
        <is>
          <t>Lin et al., 2013, Cell Rep. 3(5): 1739--1753 (flybase.org/reports/FBrf0221742)</t>
        </is>
      </c>
      <c r="F120" t="inlineStr"/>
      <c r="G120" t="inlineStr"/>
      <c r="H120" t="inlineStr"/>
    </row>
    <row r="121">
      <c r="A121">
        <f>HYPERLINK("https://www.ebi.ac.uk/ols/ontologies/fbbt/terms?iri=http://purl.obolibrary.org/obo/FBbt_00110124","FBbt:00110124")</f>
        <v/>
      </c>
      <c r="B121" t="inlineStr">
        <is>
          <t>antennal mechanosensory and motor center A2 projection neuron</t>
        </is>
      </c>
      <c r="C121" t="inlineStr">
        <is>
          <t>AMMC-A2 neuron; AMMC-A2 PN</t>
        </is>
      </c>
      <c r="D121" t="inlineStr">
        <is>
          <t>Projection neuron whose cell body is located dorsally to the antennal mechanosensory and motor center (AMMC). It projects to the ipsilateral inferior ventrolateral protocerebrum (IVLP) region and AMMC zones A and B. It also projects contralaterally via the inferior AMMC commissure to arborize in the AMMC zones A and B. Its dendrites receive input in the AMMC zone A and establish postsynaptic connections in the IVLP. These neurons are broadly tuned to respond to 100, 300 Hz, 700Hz or pulse song stimuli (Lai et al., 2012).</t>
        </is>
      </c>
      <c r="E121" t="inlineStr">
        <is>
          <t>Lai et al., 2012, Proc. Natl. Acad. Sci. U.S.A. 109(7): 2607--2612 (flybase.org/reports/FBrf0217491); Matsuo et al., 2016, J. Comp. Neurol. 524(6): 1099--1164 (flybase.org/reports/FBrf0230862)</t>
        </is>
      </c>
      <c r="F121" t="inlineStr"/>
      <c r="G121" t="inlineStr"/>
      <c r="H121" t="inlineStr"/>
    </row>
    <row r="122">
      <c r="A122">
        <f>HYPERLINK("https://www.ebi.ac.uk/ols/ontologies/fbbt/terms?iri=http://purl.obolibrary.org/obo/FBbt_00111441","FBbt:00111441")</f>
        <v/>
      </c>
      <c r="B122" t="inlineStr">
        <is>
          <t>PB slice 7-FB layer 2-IDFP HB-lateral neuron</t>
        </is>
      </c>
      <c r="C122" t="inlineStr">
        <is>
          <t>PBL7-FBL3e,L4e&gt;IDFPR-HB-lateral</t>
        </is>
      </c>
      <c r="D122" t="inlineStr">
        <is>
          <t>Small field neuron of the central complex with dendritic arbors in the protocerebral bridge slice 7, in the ipsilateral fan-shaped body layer 2 (layer e) from segment pairs X and W (columns 3 and 4), and axon terminals in the contralateral lateral accessory lobe (lateral hammer body) and crepine.</t>
        </is>
      </c>
      <c r="E122" t="inlineStr">
        <is>
          <t>Lin et al., 2013, Cell Rep. 3(5): 1739--1753 (flybase.org/reports/FBrf0221742); Wolff et al., 2015, J. Comp. Neurol. 523(7): 997--1037 (flybase.org/reports/FBrf0227801)</t>
        </is>
      </c>
      <c r="F122" t="inlineStr"/>
      <c r="G122" t="inlineStr"/>
      <c r="H122" t="inlineStr"/>
    </row>
    <row r="123">
      <c r="A123">
        <f>HYPERLINK("https://www.ebi.ac.uk/ols/ontologies/fbbt/terms?iri=http://purl.obolibrary.org/obo/FBbt_00111440","FBbt:00111440")</f>
        <v/>
      </c>
      <c r="B123" t="inlineStr">
        <is>
          <t>PB slice 6-FB layer 2-IDFP HB-lateral neuron</t>
        </is>
      </c>
      <c r="C123" t="inlineStr">
        <is>
          <t>PBR6-FBR3e,R4e&gt;IDFPL-HB-lateral; PBL6-FBL3e,L4e&gt;IDFPR-HB-lateral</t>
        </is>
      </c>
      <c r="D123" t="inlineStr">
        <is>
          <t>Small field neuron of the central complex with dendritic arbors in the protocerebral bridge slice 6, in the ipsilateral fan-shaped body layer 2 (layer e) from segment pairs X and W (columns 3 and 4), and axon terminals in the contralateral lateral accessory lobe (lateral hammer body) and crepine.</t>
        </is>
      </c>
      <c r="E123" t="inlineStr">
        <is>
          <t>Lin et al., 2013, Cell Rep. 3(5): 1739--1753 (flybase.org/reports/FBrf0221742); Wolff et al., 2015, J. Comp. Neurol. 523(7): 997--1037 (flybase.org/reports/FBrf0227801)</t>
        </is>
      </c>
      <c r="F123" t="inlineStr"/>
      <c r="G123" t="inlineStr"/>
      <c r="H123" t="inlineStr"/>
    </row>
    <row r="124">
      <c r="A124">
        <f>HYPERLINK("https://www.ebi.ac.uk/ols/ontologies/fbbt/terms?iri=http://purl.obolibrary.org/obo/FBbt_00110122","FBbt:00110122")</f>
        <v/>
      </c>
      <c r="B124" t="inlineStr">
        <is>
          <t>antennal mechanosensory and motor center B1b projection neuron</t>
        </is>
      </c>
      <c r="C124" t="inlineStr">
        <is>
          <t>AMMC-B1b neuron; AMMC-B1b PN; AMMC-B1b neuron</t>
        </is>
      </c>
      <c r="D124" t="inlineStr">
        <is>
          <t>Projection neuron whose cell body is located dorsally to the antennal mechanosensory and motor center (AMMC) and innervates the AMMC zone B and both the ipsilateral and the contralateral inferior ventrolateral protocerebrum (IVLP) regions. These neurons receive input in the AMMC zone B from Johnston's organ neurons and establish presynaptic connections in the lateral region of the IVLP. These neurons are activated by an acoustic stimuli and are broadly tuned to respond to 100, 300 Hz or pulse song stimuli (Lai et al., 2012).</t>
        </is>
      </c>
      <c r="E124" t="inlineStr">
        <is>
          <t>Kamikouchi et al., 2009, Nature 458(7235): 165--171 (flybase.org/reports/FBrf0207518); Lai et al., 2012, Proc. Natl. Acad. Sci. U.S.A. 109(7): 2607--2612 (flybase.org/reports/FBrf0217491); Vaughan et al., 2014, Curr. Biol. 24(10): 1039--1049 (flybase.org/reports/FBrf0225096)</t>
        </is>
      </c>
      <c r="F124" t="inlineStr"/>
      <c r="G124" t="inlineStr"/>
      <c r="H124" t="inlineStr"/>
    </row>
    <row r="125">
      <c r="A125">
        <f>HYPERLINK("https://www.ebi.ac.uk/ols/ontologies/fbbt/terms?iri=http://purl.obolibrary.org/obo/FBbt_00050114","FBbt:00050114")</f>
        <v/>
      </c>
      <c r="B125" t="inlineStr">
        <is>
          <t>adult SMPpv2 lineage neuron</t>
        </is>
      </c>
      <c r="C125" t="inlineStr">
        <is>
          <t>None</t>
        </is>
      </c>
      <c r="D125" t="inlineStr">
        <is>
          <t>Any neuron (FBbt:00005106) that is part of some adult brain (FBbt:00003624) and that develops from some neuroblast SMPpv2 (FBbt:00050112).</t>
        </is>
      </c>
      <c r="E125" t="inlineStr">
        <is>
          <t>Yu et al., 2013, Curr. Biol. 23(8): 633--643 (flybase.org/reports/FBrf0221412)</t>
        </is>
      </c>
      <c r="F125" t="inlineStr"/>
      <c r="G125" t="inlineStr"/>
      <c r="H125" t="inlineStr"/>
    </row>
    <row r="126">
      <c r="A126">
        <f>HYPERLINK("https://www.ebi.ac.uk/ols/ontologies/fbbt/terms?iri=http://purl.obolibrary.org/obo/FBbt_00111389","FBbt:00111389")</f>
        <v/>
      </c>
      <c r="B126" t="inlineStr">
        <is>
          <t>CCP-VMP-PB 8 neuron</t>
        </is>
      </c>
      <c r="C126" t="inlineStr">
        <is>
          <t>CCPR-ventral-VMPR-dorsal&gt;PBR7,R8; CCPL-ventral-VMPL-dorsal&gt;PBL7,L8</t>
        </is>
      </c>
      <c r="D126" t="inlineStr">
        <is>
          <t>Interneuron that has dendritic arborizations in the antler and inferior bridge (caudalcentral protocerebrum, CCP), the dorsal region of the ventral complex and posterior slope (ventromedial protocerebrum, VMP) and axon terminals in the ipsilateral protocerebral bridge slices 8 and 9.</t>
        </is>
      </c>
      <c r="E126" t="inlineStr">
        <is>
          <t>Lin et al., 2013, Cell Rep. 3(5): 1739--1753 (flybase.org/reports/FBrf0221742); Ito et al., 2014, Neuron 81(4): 755--765 (flybase.org/reports/FBrf0224194)</t>
        </is>
      </c>
      <c r="F126" t="inlineStr"/>
      <c r="G126" t="inlineStr"/>
      <c r="H126" t="inlineStr"/>
    </row>
    <row r="127">
      <c r="A127">
        <f>HYPERLINK("https://www.ebi.ac.uk/ols/ontologies/fbbt/terms?iri=http://purl.obolibrary.org/obo/FBbt_00111388","FBbt:00111388")</f>
        <v/>
      </c>
      <c r="B127" t="inlineStr">
        <is>
          <t>CCP-VMP-PB 7 neuron</t>
        </is>
      </c>
      <c r="C127" t="inlineStr">
        <is>
          <t>CCPR-ventral-VMPR-dorsal&gt;PBR5,R6</t>
        </is>
      </c>
      <c r="D127" t="inlineStr">
        <is>
          <t>Interneuron that has dendritic arborizations in the antler and inferior bridge (caudalcentral protocerebrum, CCP), the dorsal region of the ventral complex and posterior slope (ventromedial protocerebrum, VMP) and axon terminals in the ipsilateral protocerebral bridge slices 7 and 8.</t>
        </is>
      </c>
      <c r="E127" t="inlineStr">
        <is>
          <t>Lin et al., 2013, Cell Rep. 3(5): 1739--1753 (flybase.org/reports/FBrf0221742); Ito et al., 2014, Neuron 81(4): 755--765 (flybase.org/reports/FBrf0224194)</t>
        </is>
      </c>
      <c r="F127" t="inlineStr"/>
      <c r="G127" t="inlineStr"/>
      <c r="H127" t="inlineStr"/>
    </row>
    <row r="128">
      <c r="A128">
        <f>HYPERLINK("https://www.ebi.ac.uk/ols/ontologies/fbbt/terms?iri=http://purl.obolibrary.org/obo/FBbt_00007483","FBbt:00007483")</f>
        <v/>
      </c>
      <c r="B128" t="inlineStr">
        <is>
          <t>transverse antennal lobe tract 2 projection neuron 1</t>
        </is>
      </c>
      <c r="C128" t="inlineStr">
        <is>
          <t>AL-t2PN1; inner-middle antenno-cerebral tract multi-glomerular projection neuron; transverse tract multiglomerular projection neuron AL-t2PN1</t>
        </is>
      </c>
      <c r="D128" t="inlineStr">
        <is>
          <t>Unilateral multiglomerular antennal lobe projection neuron that fasciculates with the transverse antennal lobe tract. The cell body is located lateral to the antennal lobe and fibers form arborizations in multiple glomeruli in the ventral antennal lobe. The main fiber turns dorsally and joins the common root of the mALT/mlALT/tALT. The axon enters the mushroom body pedunculus where it turns posteriorly and bifurcates. One branch terminates in the anterior region of the mushroom body calyx whilst the other turns laterally and terminates in the ventral posterior area of the lateral horn. One branch projects ventrally from the subesophageal zone and terminates in the middle area of the subesophageal zone. There are at least two of these cells.</t>
        </is>
      </c>
      <c r="E128" t="inlineStr">
        <is>
          <t>Stocker et al., 1990, Cell Tissue Res. 262(1): 9--34 (flybase.org/reports/FBrf0051437); Tanaka et al., 2008, J. Comp. Neurol. 508(5): 711--755 (flybase.org/reports/FBrf0205263); Tanaka et al., 2012, J. Comp. Neurol. 520(18): 4067--4130 (flybase.org/reports/FBrf0219809)</t>
        </is>
      </c>
      <c r="F128" t="inlineStr"/>
      <c r="G128" t="inlineStr"/>
      <c r="H128" t="inlineStr"/>
    </row>
    <row r="129">
      <c r="A129">
        <f>HYPERLINK("https://www.ebi.ac.uk/ols/ontologies/fbbt/terms?iri=http://purl.obolibrary.org/obo/FBbt_00050067","FBbt:00050067")</f>
        <v/>
      </c>
      <c r="B129" t="inlineStr">
        <is>
          <t>adult VLPl&amp;p1 lineage neuron</t>
        </is>
      </c>
      <c r="C129" t="inlineStr">
        <is>
          <t>adult VLPl_p1 lineage neuron</t>
        </is>
      </c>
      <c r="D129" t="inlineStr">
        <is>
          <t>Any neuron (FBbt:00005106) that is part of some adult brain (FBbt:00003624) and that develops from some neuroblast VLPl&amp;p1 (FBbt:00050065).</t>
        </is>
      </c>
      <c r="E129" t="inlineStr">
        <is>
          <t>Yu et al., 2013, Curr. Biol. 23(8): 633--643 (flybase.org/reports/FBrf0221412); Ito et al., 2013, Curr. Biol. 23(8): 644--655 (flybase.org/reports/FBrf0221438)</t>
        </is>
      </c>
      <c r="F129" t="inlineStr"/>
      <c r="G129" t="inlineStr"/>
      <c r="H129" t="inlineStr"/>
    </row>
    <row r="130">
      <c r="A130">
        <f>HYPERLINK("https://www.ebi.ac.uk/ols/ontologies/fbbt/terms?iri=http://purl.obolibrary.org/obo/FBbt_00111387","FBbt:00111387")</f>
        <v/>
      </c>
      <c r="B130" t="inlineStr">
        <is>
          <t>CCP-VMP-PB 5 neuron</t>
        </is>
      </c>
      <c r="C130" t="inlineStr">
        <is>
          <t>CCPR-ventral-VMPR-dorsal&gt;PBR4,R5</t>
        </is>
      </c>
      <c r="D130" t="inlineStr">
        <is>
          <t>Interneuron that has dendritic arborizations in the antler and inferior bridge (caudalcentral protocerebrum, CCP), the dorsal region of the ventral complex and posterior slope (ventromedial protocerebrum, VMP) and axon terminals in the ipsilateral protocerebral bridge slices 5 and 6.</t>
        </is>
      </c>
      <c r="E130" t="inlineStr">
        <is>
          <t>Lin et al., 2013, Cell Rep. 3(5): 1739--1753 (flybase.org/reports/FBrf0221742); Ito et al., 2014, Neuron 81(4): 755--765 (flybase.org/reports/FBrf0224194)</t>
        </is>
      </c>
      <c r="F130" t="inlineStr"/>
      <c r="G130" t="inlineStr"/>
      <c r="H130" t="inlineStr"/>
    </row>
    <row r="131">
      <c r="A131">
        <f>HYPERLINK("https://www.ebi.ac.uk/ols/ontologies/fbbt/terms?iri=http://purl.obolibrary.org/obo/FBbt_00110319","FBbt:00110319")</f>
        <v/>
      </c>
      <c r="B131" t="inlineStr">
        <is>
          <t>DP neuron of the dopaminergic PPL1 cluster</t>
        </is>
      </c>
      <c r="C131" t="inlineStr">
        <is>
          <t>None</t>
        </is>
      </c>
      <c r="D131" t="inlineStr">
        <is>
          <t>A neuron whose main projection terminates in the dorsal protocerebrum and is part of the dopaminergic PPL1 cluster.</t>
        </is>
      </c>
      <c r="E131" t="inlineStr">
        <is>
          <t>Liu et al., 2012, Curr. Biol. 22(22): 2114--2123 (flybase.org/reports/FBrf0220041)</t>
        </is>
      </c>
      <c r="F131" t="inlineStr"/>
      <c r="G131" t="inlineStr"/>
      <c r="H131" t="inlineStr"/>
    </row>
    <row r="132">
      <c r="A132">
        <f>HYPERLINK("https://www.ebi.ac.uk/ols/ontologies/fbbt/terms?iri=http://purl.obolibrary.org/obo/FBbt_00111386","FBbt:00111386")</f>
        <v/>
      </c>
      <c r="B132" t="inlineStr">
        <is>
          <t>CCP-VMP-PB 4 neuron</t>
        </is>
      </c>
      <c r="C132" t="inlineStr">
        <is>
          <t>CCPL-ventral-VMPL-dorsal&gt;PBL3,L4</t>
        </is>
      </c>
      <c r="D132" t="inlineStr">
        <is>
          <t>Interneuron that has dendritic arborizations in the antler and inferior bridge (caudalcentral protocerebrum, CCP), the dorsal region of the ventral complex and posterior slope (ventromedial protocerebrum, VMP) and axon terminals in the ipsilateral protocerebral bridge slices 4 and 5.</t>
        </is>
      </c>
      <c r="E132" t="inlineStr">
        <is>
          <t>Lin et al., 2013, Cell Rep. 3(5): 1739--1753 (flybase.org/reports/FBrf0221742); Ito et al., 2014, Neuron 81(4): 755--765 (flybase.org/reports/FBrf0224194)</t>
        </is>
      </c>
      <c r="F132" t="inlineStr"/>
      <c r="G132" t="inlineStr"/>
      <c r="H132" t="inlineStr"/>
    </row>
    <row r="133">
      <c r="A133">
        <f>HYPERLINK("https://www.ebi.ac.uk/ols/ontologies/fbbt/terms?iri=http://purl.obolibrary.org/obo/FBbt_00050064","FBbt:00050064")</f>
        <v/>
      </c>
      <c r="B133" t="inlineStr">
        <is>
          <t>adult AOTUv4 lineage neuron</t>
        </is>
      </c>
      <c r="C133" t="inlineStr">
        <is>
          <t>None</t>
        </is>
      </c>
      <c r="D133" t="inlineStr">
        <is>
          <t>Any neuron (FBbt:00005106) that is part of some adult brain (FBbt:00003624) and that develops from some neuroblast AOTUv4 (FBbt:00050062).</t>
        </is>
      </c>
      <c r="E133" t="inlineStr">
        <is>
          <t>Yu et al., 2013, Curr. Biol. 23(8): 633--643 (flybase.org/reports/FBrf0221412); Ito et al., 2013, Curr. Biol. 23(8): 644--655 (flybase.org/reports/FBrf0221438)</t>
        </is>
      </c>
      <c r="F133" t="inlineStr"/>
      <c r="G133" t="inlineStr"/>
      <c r="H133" t="inlineStr"/>
    </row>
    <row r="134">
      <c r="A134">
        <f>HYPERLINK("https://www.ebi.ac.uk/ols/ontologies/fbbt/terms?iri=http://purl.obolibrary.org/obo/FBbt_00050061","FBbt:00050061")</f>
        <v/>
      </c>
      <c r="B134" t="inlineStr">
        <is>
          <t>adult DM5 lineage neuron</t>
        </is>
      </c>
      <c r="C134" t="inlineStr">
        <is>
          <t>None</t>
        </is>
      </c>
      <c r="D134" t="inlineStr">
        <is>
          <t>Any neuron (FBbt:00005106) that is part of some adult brain (FBbt:00003624) and that develops from some neuroblast DM5 (FBbt:00050059).</t>
        </is>
      </c>
      <c r="E134" t="inlineStr">
        <is>
          <t>Viktorin et al., 2011, Dev. Biol. 356(2): 553--565 (flybase.org/reports/FBrf0214495); Yu et al., 2013, Curr. Biol. 23(8): 633--643 (flybase.org/reports/FBrf0221412); Ito et al., 2013, Curr. Biol. 23(8): 644--655 (flybase.org/reports/FBrf0221438)</t>
        </is>
      </c>
      <c r="F134" t="inlineStr"/>
      <c r="G134" t="inlineStr"/>
      <c r="H134" t="inlineStr"/>
    </row>
    <row r="135">
      <c r="A135">
        <f>HYPERLINK("https://www.ebi.ac.uk/ols/ontologies/fbbt/terms?iri=http://purl.obolibrary.org/obo/FBbt_00003665","FBbt:00003665")</f>
        <v/>
      </c>
      <c r="B135" t="inlineStr">
        <is>
          <t>intrinsic lateral accessory lobe neuron</t>
        </is>
      </c>
      <c r="C135" t="inlineStr">
        <is>
          <t>intrinsic vbo neuron</t>
        </is>
      </c>
      <c r="D135" t="inlineStr">
        <is>
          <t>Interneuron that innervates only the adult lateral accessory lobe (ventral body).</t>
        </is>
      </c>
      <c r="E135" t="inlineStr">
        <is>
          <t>Hanesch et al., 1989, Cell Tissue Res. 257(2): 343--366 (flybase.org/reports/FBrf0049409)</t>
        </is>
      </c>
      <c r="F135" t="inlineStr"/>
      <c r="G135" t="inlineStr"/>
      <c r="H135" t="inlineStr"/>
    </row>
    <row r="136">
      <c r="A136">
        <f>HYPERLINK("https://www.ebi.ac.uk/ols/ontologies/fbbt/terms?iri=http://purl.obolibrary.org/obo/FBbt_00110992","FBbt:00110992")</f>
        <v/>
      </c>
      <c r="B136" t="inlineStr">
        <is>
          <t>mushroom body medial lobe arborizing neuron 8</t>
        </is>
      </c>
      <c r="C136" t="inlineStr">
        <is>
          <t>MB-M8</t>
        </is>
      </c>
      <c r="D136" t="inlineStr">
        <is>
          <t>A neuron, which is part of a cluster of approximately 15 per brain hemisphere, whose cell body is found in the inferior neuropils in the dopaminergic PAM cluster. Its axon projects bilaterally to the beta lobe slices 1 or 2, both in the surface and core regions.</t>
        </is>
      </c>
      <c r="E136" t="inlineStr">
        <is>
          <t>Perisse et al., 2013, Neuron 79(5): 945--956 (flybase.org/reports/FBrf0222568)</t>
        </is>
      </c>
      <c r="F136" t="inlineStr"/>
      <c r="G136" t="inlineStr"/>
      <c r="H136" t="inlineStr"/>
    </row>
    <row r="137">
      <c r="A137">
        <f>HYPERLINK("https://www.ebi.ac.uk/ols/ontologies/fbbt/terms?iri=http://purl.obolibrary.org/obo/FBbt_00003666","FBbt:00003666")</f>
        <v/>
      </c>
      <c r="B137" t="inlineStr">
        <is>
          <t>intrinsic protocerebral bridge neuron</t>
        </is>
      </c>
      <c r="C137" t="inlineStr">
        <is>
          <t>intrinsic pb neuron; PB LN neuron</t>
        </is>
      </c>
      <c r="D137" t="inlineStr">
        <is>
          <t>Interneuron that innervates only the adult protocerebral bridge. Its fiber enters the protocerebral bridge laterally. The soma of these neurons are located in the posterior cortex, medial and ventral to the Kenyon cell soma.</t>
        </is>
      </c>
      <c r="E137" t="inlineStr">
        <is>
          <t>Hanesch et al., 1989, Cell Tissue Res. 257(2): 343--366 (flybase.org/reports/FBrf0049409); Lin et al., 2013, Cell Rep. 3(5): 1739--1753 (flybase.org/reports/FBrf0221742)</t>
        </is>
      </c>
      <c r="F137" t="inlineStr"/>
      <c r="G137" t="inlineStr"/>
      <c r="H137" t="inlineStr"/>
    </row>
    <row r="138">
      <c r="A138">
        <f>HYPERLINK("https://www.ebi.ac.uk/ols/ontologies/fbbt/terms?iri=http://purl.obolibrary.org/obo/FBbt_00110325","FBbt:00110325")</f>
        <v/>
      </c>
      <c r="B138" t="inlineStr">
        <is>
          <t>mFB neuron of the dopaminergic PPM3 cluster</t>
        </is>
      </c>
      <c r="C138" t="inlineStr">
        <is>
          <t>None</t>
        </is>
      </c>
      <c r="D138" t="inlineStr">
        <is>
          <t>A neuron whose main projection terminates in the medial fan-shaped body and is part of the dopaminergic PPM3 cluster.</t>
        </is>
      </c>
      <c r="E138" t="inlineStr">
        <is>
          <t>Liu et al., 2012, Curr. Biol. 22(22): 2114--2123 (flybase.org/reports/FBrf0220041)</t>
        </is>
      </c>
      <c r="F138" t="inlineStr"/>
      <c r="G138" t="inlineStr"/>
      <c r="H138" t="inlineStr"/>
    </row>
    <row r="139">
      <c r="A139">
        <f>HYPERLINK("https://www.ebi.ac.uk/ols/ontologies/fbbt/terms?iri=http://purl.obolibrary.org/obo/FBbt_00110324","FBbt:00110324")</f>
        <v/>
      </c>
      <c r="B139" t="inlineStr">
        <is>
          <t>MB-AMP neuron of the dopaminergic PPL1 cluster</t>
        </is>
      </c>
      <c r="C139" t="inlineStr">
        <is>
          <t>SMP-FLA neuron of the dopaminergic PPL1 cluster</t>
        </is>
      </c>
      <c r="D139" t="inlineStr">
        <is>
          <t>A neuron whose main projection terminates in the crepine, in the region around the medial part of the mushroom body medial lobe, and is part of the dopaminergic PPL1 cluster.</t>
        </is>
      </c>
      <c r="E139" t="inlineStr">
        <is>
          <t>Liu et al., 2012, Curr. Biol. 22(22): 2114--2123 (flybase.org/reports/FBrf0220041)</t>
        </is>
      </c>
      <c r="F139" t="inlineStr"/>
      <c r="G139" t="inlineStr"/>
      <c r="H139" t="inlineStr"/>
    </row>
    <row r="140">
      <c r="A140">
        <f>HYPERLINK("https://www.ebi.ac.uk/ols/ontologies/fbbt/terms?iri=http://purl.obolibrary.org/obo/FBbt_00050263","FBbt:00050263")</f>
        <v/>
      </c>
      <c r="B140" t="inlineStr">
        <is>
          <t>adult LHl4 lineage neuron</t>
        </is>
      </c>
      <c r="C140" t="inlineStr">
        <is>
          <t>None</t>
        </is>
      </c>
      <c r="D140" t="inlineStr">
        <is>
          <t>Any neuron (FBbt:00005106) that is part of some adult brain (FBbt:00003624) and that develops from some neuroblast LHl4 (FBbt:00050261).</t>
        </is>
      </c>
      <c r="E140" t="inlineStr">
        <is>
          <t>Yu et al., 2013, Curr. Biol. 23(8): 633--643 (flybase.org/reports/FBrf0221412); Ito et al., 2013, Curr. Biol. 23(8): 644--655 (flybase.org/reports/FBrf0221438)</t>
        </is>
      </c>
      <c r="F140" t="inlineStr"/>
      <c r="G140" t="inlineStr"/>
      <c r="H140" t="inlineStr"/>
    </row>
    <row r="141">
      <c r="A141">
        <f>HYPERLINK("https://www.ebi.ac.uk/ols/ontologies/fbbt/terms?iri=http://purl.obolibrary.org/obo/FBbt_00110323","FBbt:00110323")</f>
        <v/>
      </c>
      <c r="B141" t="inlineStr">
        <is>
          <t>MB-SV neuron of the dopaminergic PPL1 cluster</t>
        </is>
      </c>
      <c r="C141" t="inlineStr">
        <is>
          <t>None</t>
        </is>
      </c>
      <c r="D141" t="inlineStr">
        <is>
          <t>A neuron whose main projection terminates in the superior neuropils, in the area surrounding but not including the mushroom body vertical lobe, and is part of the dopaminergic PPL1 cluster.</t>
        </is>
      </c>
      <c r="E141" t="inlineStr">
        <is>
          <t>Liu et al., 2012, Curr. Biol. 22(22): 2114--2123 (flybase.org/reports/FBrf0220041)</t>
        </is>
      </c>
      <c r="F141" t="inlineStr"/>
      <c r="G141" t="inlineStr"/>
      <c r="H141" t="inlineStr"/>
    </row>
    <row r="142">
      <c r="A142">
        <f>HYPERLINK("https://www.ebi.ac.uk/ols/ontologies/fbbt/terms?iri=http://purl.obolibrary.org/obo/FBbt_00100218","FBbt:00100218")</f>
        <v/>
      </c>
      <c r="B142" t="inlineStr">
        <is>
          <t>dopaminergic PPM3 neuron</t>
        </is>
      </c>
      <c r="C142" t="inlineStr">
        <is>
          <t>PPM3; TH-positive posterior medial cluster neuron 3; protocerebral posteriomedial dopaminergic cluster 3 neuron; PPM3 cluster neuron; protocerebral posterior medial dopaminergic cluster neuron 3; PM cell cluster neuron</t>
        </is>
      </c>
      <c r="D142" t="inlineStr">
        <is>
          <t>A dopaminergic neuron whose cell body is located in a cluster of approximately 6-8 cell bodies in the cortex of the superior posterior slope of the adult brain.</t>
        </is>
      </c>
      <c r="E142" t="inlineStr">
        <is>
          <t>Budnik and White, 1988, J. Comp. Neurol. 268(3): 400--413 (flybase.org/reports/FBrf0048550); Mao and Davis, 2009, Front. Neural Circuits 3: 5 (flybase.org/reports/FBrf0208427)</t>
        </is>
      </c>
      <c r="F142" t="inlineStr"/>
      <c r="G142" t="inlineStr"/>
      <c r="H142" t="inlineStr"/>
    </row>
    <row r="143">
      <c r="A143">
        <f>HYPERLINK("https://www.ebi.ac.uk/ols/ontologies/fbbt/terms?iri=http://purl.obolibrary.org/obo/FBbt_00100219","FBbt:00100219")</f>
        <v/>
      </c>
      <c r="B143" t="inlineStr">
        <is>
          <t>dopaminergic PPL1 neuron</t>
        </is>
      </c>
      <c r="C143" t="inlineStr">
        <is>
          <t>DL1 cell cluster neuron; protocerebral posteriolateral dopaminergic cluster neuron 1; TH-positive posteriolateral cluster neuron 1; PPL1 cluster neuron; protocerebral posterior lateral cluster neuron 1; PPL1</t>
        </is>
      </c>
      <c r="D143" t="inlineStr">
        <is>
          <t>A dopaminergic neuron whose cell body is located in a cluster of approximately 12 cell bodies in the cortex of the posterior inferior lateral protocerebrum of the adult brain, immediately lateral to the mushroom body calyx. Members of this group project to various parts of the mushroom body: the tip of the alpha lobe; the tip of the alpha' lobe; the upper portion of the alpha lobe segment 2; alpha lobe segment 1 and the lower part of segment 2; and the pedunculus and spur (Mao and Davis, 2009). Long-range fibers project bilaterally to and arborize in the tips and stalks of the alpha and alpha' lobes, the heel and the peduncle (Claridge-Chang et al., 2009). Other members of this group arborize in areas other than the mushroom body: the edge of the medial portions of the medial lobes; broad areas surrounding the ipsilateral vertical lobes; areas posterior to the ipsilateral vertical lobes; the entire span of the superior arch (Mao and Davis, 2009) and the central complex (Claridge-Chang et al., 2009).</t>
        </is>
      </c>
      <c r="E143" t="inlineStr">
        <is>
          <t>Budnik and White, 1988, J. Comp. Neurol. 268(3): 400--413 (flybase.org/reports/FBrf0048550); Mao and Davis, 2009, Front. Neural Circuits 3: 5 (flybase.org/reports/FBrf0208427); Claridge-Chang et al., 2009, Cell 139(2): 405--415 (flybase.org/reports/FBrf0208958)</t>
        </is>
      </c>
      <c r="F143" t="inlineStr"/>
      <c r="G143" t="inlineStr"/>
      <c r="H143" t="inlineStr"/>
    </row>
    <row r="144">
      <c r="A144">
        <f>HYPERLINK("https://www.ebi.ac.uk/ols/ontologies/fbbt/terms?iri=http://purl.obolibrary.org/obo/FBbt_00110322","FBbt:00110322")</f>
        <v/>
      </c>
      <c r="B144" t="inlineStr">
        <is>
          <t>dFB neuron of the dopaminergic PPL1 cluster</t>
        </is>
      </c>
      <c r="C144" t="inlineStr">
        <is>
          <t>None</t>
        </is>
      </c>
      <c r="D144" t="inlineStr">
        <is>
          <t>A neuron whose main projection terminates in the dorsal fan-shaped body and is part of the dopaminergic PPL1 cluster.</t>
        </is>
      </c>
      <c r="E144" t="inlineStr">
        <is>
          <t>Liu et al., 2012, Curr. Biol. 22(22): 2114--2123 (flybase.org/reports/FBrf0220041)</t>
        </is>
      </c>
      <c r="F144" t="inlineStr"/>
      <c r="G144" t="inlineStr"/>
      <c r="H144" t="inlineStr"/>
    </row>
    <row r="145">
      <c r="A145">
        <f>HYPERLINK("https://www.ebi.ac.uk/ols/ontologies/fbbt/terms?iri=http://purl.obolibrary.org/obo/FBbt_00050260","FBbt:00050260")</f>
        <v/>
      </c>
      <c r="B145" t="inlineStr">
        <is>
          <t>adult VLPl4 lineage neuron</t>
        </is>
      </c>
      <c r="C145" t="inlineStr">
        <is>
          <t>None</t>
        </is>
      </c>
      <c r="D145" t="inlineStr">
        <is>
          <t>Any neuron (FBbt:00005106) that is part of some adult brain (FBbt:00003624) and that develops from some neuroblast VLPl4 (FBbt:00050258).</t>
        </is>
      </c>
      <c r="E145" t="inlineStr">
        <is>
          <t>Yu et al., 2013, Curr. Biol. 23(8): 633--643 (flybase.org/reports/FBrf0221412)</t>
        </is>
      </c>
      <c r="F145" t="inlineStr"/>
      <c r="G145" t="inlineStr"/>
      <c r="H145" t="inlineStr"/>
    </row>
    <row r="146">
      <c r="A146">
        <f>HYPERLINK("https://www.ebi.ac.uk/ols/ontologies/fbbt/terms?iri=http://purl.obolibrary.org/obo/FBbt_00111640","FBbt:00111640")</f>
        <v/>
      </c>
      <c r="B146" t="inlineStr">
        <is>
          <t>medulla columnar neuron</t>
        </is>
      </c>
      <c r="C146" t="inlineStr">
        <is>
          <t>None</t>
        </is>
      </c>
      <c r="D146" t="inlineStr">
        <is>
          <t>An extrinsic columnar neuron that innervates the medulla.</t>
        </is>
      </c>
      <c r="E146" t="inlineStr">
        <is>
          <t>Otsuna et al., 2014, Front. Neural Circuits 8: 8 (flybase.org/reports/FBrf0224242)</t>
        </is>
      </c>
      <c r="F146" t="inlineStr"/>
      <c r="G146" t="inlineStr"/>
      <c r="H146" t="inlineStr"/>
    </row>
    <row r="147">
      <c r="A147">
        <f>HYPERLINK("https://www.ebi.ac.uk/ols/ontologies/fbbt/terms?iri=http://purl.obolibrary.org/obo/FBbt_00100216","FBbt:00100216")</f>
        <v/>
      </c>
      <c r="B147" t="inlineStr">
        <is>
          <t>dopaminergic PPM1 neuron</t>
        </is>
      </c>
      <c r="C147" t="inlineStr">
        <is>
          <t>protocerebral posterior medial dopaminergic neuron 1; PPM1; TH-positive posterior medial cluster 1 neuron; PPM1 cluster neuron; protocerebral posteriomedial dopaminergic neuron 1</t>
        </is>
      </c>
      <c r="D147" t="inlineStr">
        <is>
          <t>Dopaminergic neuron whose cell body is located in a small cluster along the dorsoventral midline of the posterior superior medial protocerebrum of the adult brain.</t>
        </is>
      </c>
      <c r="E147" t="inlineStr">
        <is>
          <t>Mao and Davis, 2009, Front. Neural Circuits 3: 5 (flybase.org/reports/FBrf0208427)</t>
        </is>
      </c>
      <c r="F147" t="inlineStr"/>
      <c r="G147" t="inlineStr"/>
      <c r="H147" t="inlineStr"/>
    </row>
    <row r="148">
      <c r="A148">
        <f>HYPERLINK("https://www.ebi.ac.uk/ols/ontologies/fbbt/terms?iri=http://purl.obolibrary.org/obo/FBbt_00100217","FBbt:00100217")</f>
        <v/>
      </c>
      <c r="B148" t="inlineStr">
        <is>
          <t>dopaminergic PPM2 neuron</t>
        </is>
      </c>
      <c r="C148" t="inlineStr">
        <is>
          <t>PPM2 cluster neuron; protocerebral posteriomedial dopaminergic cluster neuron 2; TH-positive posterior medial cluster neuron 2; PPM2; protocerebral posterior medial dopaminergic cluster neuron 2; DM cell cluster neuron</t>
        </is>
      </c>
      <c r="D148" t="inlineStr">
        <is>
          <t>A dopaminergic neuron whose cell body is located in a cluster of approximately 8 cell bodies in the cortex of the posterior inferior medial protocerebrum of the adult brain.</t>
        </is>
      </c>
      <c r="E148" t="inlineStr">
        <is>
          <t>Budnik and White, 1988, J. Comp. Neurol. 268(3): 400--413 (flybase.org/reports/FBrf0048550); Mao and Davis, 2009, Front. Neural Circuits 3: 5 (flybase.org/reports/FBrf0208427)</t>
        </is>
      </c>
      <c r="F148" t="inlineStr"/>
      <c r="G148" t="inlineStr"/>
      <c r="H148" t="inlineStr"/>
    </row>
    <row r="149">
      <c r="A149">
        <f>HYPERLINK("https://www.ebi.ac.uk/ols/ontologies/fbbt/terms?iri=http://purl.obolibrary.org/obo/FBbt_00111646","FBbt:00111646")</f>
        <v/>
      </c>
      <c r="B149" t="inlineStr">
        <is>
          <t>antennal grooming brain interneuron 2</t>
        </is>
      </c>
      <c r="C149" t="inlineStr">
        <is>
          <t>aBN2</t>
        </is>
      </c>
      <c r="D149" t="inlineStr">
        <is>
          <t>Neuron whose cell body is located in the cell body rind laterally to the gnathal ganglion. The primary neurite extends ventromedially to arborize broadly in the anterior antennal mechanosensory and motor center (AMMC) zones C and E, and less extensively in the subesophageal zone (SEZ), including the ventral region. Some neurites cross the midline.</t>
        </is>
      </c>
      <c r="E149" t="inlineStr">
        <is>
          <t>Hampel et al., 2015, eLife 4: e08758 (flybase.org/reports/FBrf0229838)</t>
        </is>
      </c>
      <c r="F149" t="inlineStr"/>
      <c r="G149" t="inlineStr"/>
      <c r="H149" t="inlineStr"/>
    </row>
    <row r="150">
      <c r="A150">
        <f>HYPERLINK("https://www.ebi.ac.uk/ols/ontologies/fbbt/terms?iri=http://purl.obolibrary.org/obo/FBbt_00110327","FBbt:00110327")</f>
        <v/>
      </c>
      <c r="B150" t="inlineStr">
        <is>
          <t>EB neuron of the dopaminergic PPM3 cluster</t>
        </is>
      </c>
      <c r="C150" t="inlineStr">
        <is>
          <t>None</t>
        </is>
      </c>
      <c r="D150" t="inlineStr">
        <is>
          <t>A neuron whose main projection terminates in the ellipsoid body and is part of the dopaminergic PPM3 cluster.</t>
        </is>
      </c>
      <c r="E150" t="inlineStr">
        <is>
          <t>Liu et al., 2012, Curr. Biol. 22(22): 2114--2123 (flybase.org/reports/FBrf0220041)</t>
        </is>
      </c>
      <c r="F150" t="inlineStr"/>
      <c r="G150" t="inlineStr"/>
      <c r="H150" t="inlineStr"/>
    </row>
    <row r="151">
      <c r="A151">
        <f>HYPERLINK("https://www.ebi.ac.uk/ols/ontologies/fbbt/terms?iri=http://purl.obolibrary.org/obo/FBbt_00047720","FBbt:00047720")</f>
        <v/>
      </c>
      <c r="B151" t="inlineStr">
        <is>
          <t>transverse antennal lobe tract 4 projection neuron 1</t>
        </is>
      </c>
      <c r="C151" t="inlineStr">
        <is>
          <t>AL-t4PN1</t>
        </is>
      </c>
      <c r="D151" t="inlineStr">
        <is>
          <t>Unilateral multiglomerular antennal lobe (AL) projection neuron that fasciculates with the transverse antennal lobe tract. The cell body is located in the posterior rind of the brain, long cell body fibers traverse the brain to enter the ventral AL from its posterior side. A branch follows the common root of the mALT/mlALT/tALT, then bifurcates in the area medial to the mushroom body pedunculus, with a fiber running along each of the dorsal and ventral surfaces of the pedunculus. The dorsal branch sends a fiber to the lateral horn and the ventral branch sends a collateral branch to the ring neuropil via the posterior lateral fascicle.</t>
        </is>
      </c>
      <c r="E151" t="inlineStr">
        <is>
          <t>Tanaka et al., 2012, J. Comp. Neurol. 520(18): 4067--4130 (flybase.org/reports/FBrf0219809)</t>
        </is>
      </c>
      <c r="F151" t="inlineStr"/>
      <c r="G151" t="inlineStr"/>
      <c r="H151" t="inlineStr"/>
    </row>
    <row r="152">
      <c r="A152">
        <f>HYPERLINK("https://www.ebi.ac.uk/ols/ontologies/fbbt/terms?iri=http://purl.obolibrary.org/obo/FBbt_00100214","FBbt:00100214")</f>
        <v/>
      </c>
      <c r="B152" t="inlineStr">
        <is>
          <t>dopaminergic PAM neuron</t>
        </is>
      </c>
      <c r="C152" t="inlineStr">
        <is>
          <t>PAM; protocerebral anterior medial dopaminergic cluster neuron; TH-positive anteriomedial cluster neuron; protocerebral anteriomedial dopaminergic cluster neuron; PAM cluster neuron; AM cell cluster neuron</t>
        </is>
      </c>
      <c r="D152" t="inlineStr">
        <is>
          <t>A dopaminergic neuron whose cell body is located in a cluster of approximately 100 cell bodies in the cortex of the anterior inferior medial protocerebrum of the adult brain. At least some members of this group project to areas posterior to the mushroom body medial lobe (Mao and Davis, 2009). Neurons in this cluster project bilaterally to the medial portion of the mushroom body beta-lobe (Claridge-Chang et al., 2009). Contacts with Kenyon cells are visible in the horizontal lobes, namely in the medial regions of the gamma, beta and beta' lobes.</t>
        </is>
      </c>
      <c r="E152" t="inlineStr">
        <is>
          <t>Mao and Davis, 2009, Front. Neural Circuits 3: 5 (flybase.org/reports/FBrf0208427); Claridge-Chang et al., 2009, Cell 139(2): 405--415 (flybase.org/reports/FBrf0208958); Pech et al., 2013, J. Comp. Neurol. 521(17): 3992--4026 (flybase.org/reports/FBrf0222995)</t>
        </is>
      </c>
      <c r="F152" t="inlineStr"/>
      <c r="G152" t="inlineStr"/>
      <c r="H152" t="inlineStr"/>
    </row>
    <row r="153">
      <c r="A153">
        <f>HYPERLINK("https://www.ebi.ac.uk/ols/ontologies/fbbt/terms?iri=http://purl.obolibrary.org/obo/FBbt_00111645","FBbt:00111645")</f>
        <v/>
      </c>
      <c r="B153" t="inlineStr">
        <is>
          <t>antennal grooming brain interneuron 1</t>
        </is>
      </c>
      <c r="C153" t="inlineStr">
        <is>
          <t>aBN1</t>
        </is>
      </c>
      <c r="D153" t="inlineStr">
        <is>
          <t>Ipsilateral neuron whose cell body is located in the cell body rind at the dorsal/ventral level of the dorsal antennal lobe. The primary neurite extends ventrally to arborize broadly in the anterior antennal mechanosensory and motor center (AMMC) zones C and E, and less extensively in the subesophageal zone (SEZ), including the ventral and posterior regions.</t>
        </is>
      </c>
      <c r="E153" t="inlineStr">
        <is>
          <t>Hampel et al., 2015, eLife 4: e08758 (flybase.org/reports/FBrf0229838)</t>
        </is>
      </c>
      <c r="F153" t="inlineStr"/>
      <c r="G153" t="inlineStr"/>
      <c r="H153" t="inlineStr"/>
    </row>
    <row r="154">
      <c r="A154">
        <f>HYPERLINK("https://www.ebi.ac.uk/ols/ontologies/fbbt/terms?iri=http://purl.obolibrary.org/obo/FBbt_00100215","FBbt:00100215")</f>
        <v/>
      </c>
      <c r="B154" t="inlineStr">
        <is>
          <t>dopaminergic PAL neuron</t>
        </is>
      </c>
      <c r="C154" t="inlineStr">
        <is>
          <t>protocerebral anteriolateral dopaminergic cluster neuron; PAL cluster neuron; PAL; protocerebral anterior lateral dopaminergic cluster neuron; TH-positive anteriolateral cluster neuron</t>
        </is>
      </c>
      <c r="D154" t="inlineStr">
        <is>
          <t>A dopaminergic neuron whose cell body is located in a cluster of approximately 5 cell bodies in the cortex located lateral to the dorsal portion of the vertical lobes in the middle of the superior lateral protocerebrum of the adult brain.</t>
        </is>
      </c>
      <c r="E154" t="inlineStr">
        <is>
          <t>Mao and Davis, 2009, Front. Neural Circuits 3: 5 (flybase.org/reports/FBrf0208427)</t>
        </is>
      </c>
      <c r="F154" t="inlineStr"/>
      <c r="G154" t="inlineStr"/>
      <c r="H154" t="inlineStr"/>
    </row>
    <row r="155">
      <c r="A155">
        <f>HYPERLINK("https://www.ebi.ac.uk/ols/ontologies/fbbt/terms?iri=http://purl.obolibrary.org/obo/FBbt_00110326","FBbt:00110326")</f>
        <v/>
      </c>
      <c r="B155" t="inlineStr">
        <is>
          <t>vFB neuron of the dopaminergic PPM3 cluster</t>
        </is>
      </c>
      <c r="C155" t="inlineStr">
        <is>
          <t>None</t>
        </is>
      </c>
      <c r="D155" t="inlineStr">
        <is>
          <t>A neuron whose main projection terminates in the ventral fan-shaped body and is part of the dopaminergic PPM3 cluster.</t>
        </is>
      </c>
      <c r="E155" t="inlineStr">
        <is>
          <t>Liu et al., 2012, Curr. Biol. 22(22): 2114--2123 (flybase.org/reports/FBrf0220041)</t>
        </is>
      </c>
      <c r="F155" t="inlineStr"/>
      <c r="G155" t="inlineStr"/>
      <c r="H155" t="inlineStr"/>
    </row>
    <row r="156">
      <c r="A156">
        <f>HYPERLINK("https://www.ebi.ac.uk/ols/ontologies/fbbt/terms?iri=http://purl.obolibrary.org/obo/FBbt_00111447","FBbt:00111447")</f>
        <v/>
      </c>
      <c r="B156" t="inlineStr">
        <is>
          <t>PB slice 4-FB layers 1 to 4-IDFP HB-medial neuron</t>
        </is>
      </c>
      <c r="C156" t="inlineStr">
        <is>
          <t>PBR3-FBR1c,d,e,f,R2c,d&gt;IDFPL-HB-medial</t>
        </is>
      </c>
      <c r="D156" t="inlineStr">
        <is>
          <t>Small field neuron of the central complex with dendritic arbors in protocerebral bridge slice 4 and in the ipsilateral segment pairs Z and Y (columns 1 and 2) of the fan-shaped body layers 1 to 4 (layers c to f), and axon terminals in the contralateral crepine (medial hammer body).</t>
        </is>
      </c>
      <c r="E156" t="inlineStr">
        <is>
          <t>Lin et al., 2013, Cell Rep. 3(5): 1739--1753 (flybase.org/reports/FBrf0221742)</t>
        </is>
      </c>
      <c r="F156" t="inlineStr"/>
      <c r="G156" t="inlineStr"/>
      <c r="H156" t="inlineStr"/>
    </row>
    <row r="157">
      <c r="A157">
        <f>HYPERLINK("https://www.ebi.ac.uk/ols/ontologies/fbbt/terms?iri=http://purl.obolibrary.org/obo/FBbt_00111446","FBbt:00111446")</f>
        <v/>
      </c>
      <c r="B157" t="inlineStr">
        <is>
          <t>PB slice 3-FB layers 1 to 4-IDFP HB-medial neuron</t>
        </is>
      </c>
      <c r="C157" t="inlineStr">
        <is>
          <t>PBL2-FBR1c,d,e,f,L1c,d&gt;IDFPR-HB-medial; PBR2-FBL1c,d,e,f,R1c,d&gt;IDFPL-HB-medial</t>
        </is>
      </c>
      <c r="D157" t="inlineStr">
        <is>
          <t>Small field neuron of the central complex with dendritic arbors in protocerebral bridge slice 3 and in the ipsi- and contralateral segment pair Z (column 1) of the fan-shaped body layers 1 to 4 (layers c to f), and axon terminals in the contralateral crepine (medial hammer body).</t>
        </is>
      </c>
      <c r="E157" t="inlineStr">
        <is>
          <t>Lin et al., 2013, Cell Rep. 3(5): 1739--1753 (flybase.org/reports/FBrf0221742)</t>
        </is>
      </c>
      <c r="F157" t="inlineStr"/>
      <c r="G157" t="inlineStr"/>
      <c r="H157" t="inlineStr"/>
    </row>
    <row r="158">
      <c r="A158">
        <f>HYPERLINK("https://www.ebi.ac.uk/ols/ontologies/fbbt/terms?iri=http://purl.obolibrary.org/obo/FBbt_00111445","FBbt:00111445")</f>
        <v/>
      </c>
      <c r="B158" t="inlineStr">
        <is>
          <t>PB slice 2-FB layers 1 to 4-IDFP HB-medial neuron</t>
        </is>
      </c>
      <c r="C158" t="inlineStr">
        <is>
          <t>PBL1-FBR2c,d,e,f,R1c,d&gt;IDFPR-HB-medial; PBR1-FBL2c,d,e,f,L1c,d&gt;IDFPL-HB-medial</t>
        </is>
      </c>
      <c r="D158" t="inlineStr">
        <is>
          <t>Small field neuron of the central complex with dendritic arbors in protocerebral bridge slice 2 and in the contralateral two segment pairs Z and Y (columns 1 and 2) of the fan-shaped body layers 1 to 4 (layers c to f), and axon terminals in the contralateral crepine (medial hammer body).</t>
        </is>
      </c>
      <c r="E158" t="inlineStr">
        <is>
          <t>Lin et al., 2013, Cell Rep. 3(5): 1739--1753 (flybase.org/reports/FBrf0221742)</t>
        </is>
      </c>
      <c r="F158" t="inlineStr"/>
      <c r="G158" t="inlineStr"/>
      <c r="H158" t="inlineStr"/>
    </row>
    <row r="159">
      <c r="A159">
        <f>HYPERLINK("https://www.ebi.ac.uk/ols/ontologies/fbbt/terms?iri=http://purl.obolibrary.org/obo/FBbt_00110126","FBbt:00110126")</f>
        <v/>
      </c>
      <c r="B159" t="inlineStr">
        <is>
          <t>inferior ventrolateral protocerebrum IVLP-VLP neuron</t>
        </is>
      </c>
      <c r="C159" t="inlineStr">
        <is>
          <t>IVLP-VLP neuron; IVLP-VLP PN</t>
        </is>
      </c>
      <c r="D159" t="inlineStr">
        <is>
          <t>Neuron whose cell body is located between the optic lobe and the central brain, laterally to the AMMC. It arborizes extensively in the ipsilateral inferior ventrolateral protocerebrum (IVLP) and projects dorsally to innervate a small region of the ipsilateral ventrolateral protocerebrum (VLP). These neurons receive input in the IVLP from AMMC-B1b neurons among others, and establish postsynaptic contacts in the VLP. They are broadly tuned to respond to 100, 300 Hz, 700Hz or pulse song stimuli (Lai et al., 2012).</t>
        </is>
      </c>
      <c r="E159" t="inlineStr">
        <is>
          <t>Lai et al., 2012, Proc. Natl. Acad. Sci. U.S.A. 109(7): 2607--2612 (flybase.org/reports/FBrf0217491)</t>
        </is>
      </c>
      <c r="F159" t="inlineStr"/>
      <c r="G159" t="inlineStr"/>
      <c r="H159" t="inlineStr"/>
    </row>
    <row r="160">
      <c r="A160">
        <f>HYPERLINK("https://www.ebi.ac.uk/ols/ontologies/fbbt/terms?iri=http://purl.obolibrary.org/obo/FBbt_00111444","FBbt:00111444")</f>
        <v/>
      </c>
      <c r="B160" t="inlineStr">
        <is>
          <t>PB slice 2-FB layers 1 to 4-IDFP HB-medial ipsilateral neuron</t>
        </is>
      </c>
      <c r="C160" t="inlineStr">
        <is>
          <t>PBL1-FBL4c,d,e,f,L3c,d&gt;IDFPL-HB-medial</t>
        </is>
      </c>
      <c r="D160" t="inlineStr">
        <is>
          <t>Small field neuron of the central complex with dendritic arbors in protocerebral bridge slice 2 and in the ipsilateral two segment pairs X and W (columns 3 and 4) of the fan-shaped body layers 1 to 4 (layers c to f), and axon terminals in the ipsilateral crepine (medial hammer body).</t>
        </is>
      </c>
      <c r="E160" t="inlineStr">
        <is>
          <t>Lin et al., 2013, Cell Rep. 3(5): 1739--1753 (flybase.org/reports/FBrf0221742)</t>
        </is>
      </c>
      <c r="F160" t="inlineStr"/>
      <c r="G160" t="inlineStr"/>
      <c r="H160" t="inlineStr"/>
    </row>
    <row r="161">
      <c r="A161">
        <f>HYPERLINK("https://www.ebi.ac.uk/ols/ontologies/fbbt/terms?iri=http://purl.obolibrary.org/obo/FBbt_00050123","FBbt:00050123")</f>
        <v/>
      </c>
      <c r="B161" t="inlineStr">
        <is>
          <t>adult DM2 lineage neuron</t>
        </is>
      </c>
      <c r="C161" t="inlineStr">
        <is>
          <t>None</t>
        </is>
      </c>
      <c r="D161" t="inlineStr">
        <is>
          <t>Any neuron (FBbt:00005106) that is part of some adult brain (FBbt:00003624) and that develops from some neuroblast DM2 (FBbt:00050121).</t>
        </is>
      </c>
      <c r="E161" t="inlineStr">
        <is>
          <t>Viktorin et al., 2011, Dev. Biol. 356(2): 553--565 (flybase.org/reports/FBrf0214495); Yu et al., 2013, Curr. Biol. 23(8): 633--643 (flybase.org/reports/FBrf0221412); Ito et al., 2013, Curr. Biol. 23(8): 644--655 (flybase.org/reports/FBrf0221438)</t>
        </is>
      </c>
      <c r="F161" t="inlineStr"/>
      <c r="G161" t="inlineStr"/>
      <c r="H161" t="inlineStr"/>
    </row>
    <row r="162">
      <c r="A162">
        <f>HYPERLINK("https://www.ebi.ac.uk/ols/ontologies/fbbt/terms?iri=http://purl.obolibrary.org/obo/FBbt_00050269","FBbt:00050269")</f>
        <v/>
      </c>
      <c r="B162" t="inlineStr">
        <is>
          <t>adult SLPal2 lineage neuron</t>
        </is>
      </c>
      <c r="C162" t="inlineStr">
        <is>
          <t>None</t>
        </is>
      </c>
      <c r="D162" t="inlineStr">
        <is>
          <t>Any neuron (FBbt:00005106) that is part of some adult brain (FBbt:00003624) and that develops from some neuroblast SLPal2 (FBbt:00050267).</t>
        </is>
      </c>
      <c r="E162" t="inlineStr">
        <is>
          <t>Yu et al., 2013, Curr. Biol. 23(8): 633--643 (flybase.org/reports/FBrf0221412); Ito et al., 2013, Curr. Biol. 23(8): 644--655 (flybase.org/reports/FBrf0221438)</t>
        </is>
      </c>
      <c r="F162" t="inlineStr"/>
      <c r="G162" t="inlineStr"/>
      <c r="H162" t="inlineStr"/>
    </row>
    <row r="163">
      <c r="A163">
        <f>HYPERLINK("https://www.ebi.ac.uk/ols/ontologies/fbbt/terms?iri=http://purl.obolibrary.org/obo/FBbt_00110321","FBbt:00110321")</f>
        <v/>
      </c>
      <c r="B163" t="inlineStr">
        <is>
          <t>MB-alpha' neuron of the dopaminergic PPL1 cluster</t>
        </is>
      </c>
      <c r="C163" t="inlineStr">
        <is>
          <t>PPL1-04', "PPL1-alpha'3"]</t>
        </is>
      </c>
      <c r="D163" t="inlineStr">
        <is>
          <t>A neuron whose main axon terminates in the tip of the mushroom body alpha' lobe (segment 3). Dendritic arborizations are found in the superior medial, intermediate and lateral protocerebrum and lateral horn. It is part of the dopaminergic PPL1 cluster. There is one neuron of this type in each hemisphere.</t>
        </is>
      </c>
      <c r="E163" t="inlineStr">
        <is>
          <t>Liu et al., 2012, Curr. Biol. 22(22): 2114--2123 (flybase.org/reports/FBrf0220041); Aso et al., 2014, eLife 3: e04577 (flybase.org/reports/FBrf0227179)</t>
        </is>
      </c>
      <c r="F163" t="inlineStr"/>
      <c r="G163" t="inlineStr"/>
      <c r="H163" t="inlineStr"/>
    </row>
    <row r="164">
      <c r="A164">
        <f>HYPERLINK("https://www.ebi.ac.uk/ols/ontologies/fbbt/terms?iri=http://purl.obolibrary.org/obo/FBbt_00050120","FBbt:00050120")</f>
        <v/>
      </c>
      <c r="B164" t="inlineStr">
        <is>
          <t>adult VESa1 lineage neuron</t>
        </is>
      </c>
      <c r="C164" t="inlineStr">
        <is>
          <t>adult BAla3 lineage neuron</t>
        </is>
      </c>
      <c r="D164" t="inlineStr">
        <is>
          <t>Any neuron (FBbt:00005106) that is part of some adult brain (FBbt:00003624) and that develops from some neuroblast VESa1 (FBbt:00050118).</t>
        </is>
      </c>
      <c r="E164" t="inlineStr">
        <is>
          <t>Yu et al., 2013, Curr. Biol. 23(8): 633--643 (flybase.org/reports/FBrf0221412); Ito et al., 2013, Curr. Biol. 23(8): 644--655 (flybase.org/reports/FBrf0221438)</t>
        </is>
      </c>
      <c r="F164" t="inlineStr"/>
      <c r="G164" t="inlineStr"/>
      <c r="H164" t="inlineStr"/>
    </row>
    <row r="165">
      <c r="A165">
        <f>HYPERLINK("https://www.ebi.ac.uk/ols/ontologies/fbbt/terms?iri=http://purl.obolibrary.org/obo/FBbt_00050266","FBbt:00050266")</f>
        <v/>
      </c>
      <c r="B165" t="inlineStr">
        <is>
          <t>adult SLPav1 lineage neuron</t>
        </is>
      </c>
      <c r="C165" t="inlineStr">
        <is>
          <t>None</t>
        </is>
      </c>
      <c r="D165" t="inlineStr">
        <is>
          <t>Any neuron (FBbt:00005106) that is part of some adult brain (FBbt:00003624) and that develops from some neuroblast SLPav1 (FBbt:00050264).</t>
        </is>
      </c>
      <c r="E165" t="inlineStr">
        <is>
          <t>Yu et al., 2013, Curr. Biol. 23(8): 633--643 (flybase.org/reports/FBrf0221412); Ito et al., 2013, Curr. Biol. 23(8): 644--655 (flybase.org/reports/FBrf0221438)</t>
        </is>
      </c>
      <c r="F165" t="inlineStr"/>
      <c r="G165" t="inlineStr"/>
      <c r="H165" t="inlineStr"/>
    </row>
    <row r="166">
      <c r="A166">
        <f>HYPERLINK("https://www.ebi.ac.uk/ols/ontologies/fbbt/terms?iri=http://purl.obolibrary.org/obo/FBbt_00110320","FBbt:00110320")</f>
        <v/>
      </c>
      <c r="B166" t="inlineStr">
        <is>
          <t>MB-alpha neuron of the dopaminergic PPL1 cluster</t>
        </is>
      </c>
      <c r="C166" t="inlineStr">
        <is>
          <t>PPL1-06; PPL1-alpha3</t>
        </is>
      </c>
      <c r="D166" t="inlineStr">
        <is>
          <t>A neuron whose main projection terminates in the tip of the mushroom body alpha lobe (segment 3). Dendritic arborizations are found in the superior medial, intermediate and lateral protocerebrum and lateral horn. It is part of the dopaminergic PPL1 cluster. There is one neuron of this type in each hemisphere.</t>
        </is>
      </c>
      <c r="E166" t="inlineStr">
        <is>
          <t>Liu et al., 2012, Curr. Biol. 22(22): 2114--2123 (flybase.org/reports/FBrf0220041); Aso et al., 2014, eLife 3: e04577 (flybase.org/reports/FBrf0227179)</t>
        </is>
      </c>
      <c r="F166" t="inlineStr"/>
      <c r="G166" t="inlineStr"/>
      <c r="H166" t="inlineStr"/>
    </row>
    <row r="167">
      <c r="A167">
        <f>HYPERLINK("https://www.ebi.ac.uk/ols/ontologies/fbbt/terms?iri=http://purl.obolibrary.org/obo/FBbt_00111449","FBbt:00111449")</f>
        <v/>
      </c>
      <c r="B167" t="inlineStr">
        <is>
          <t>PB slice 6-FB layers 1 to 4-IDFP HB-medial neuron</t>
        </is>
      </c>
      <c r="C167" t="inlineStr">
        <is>
          <t>PBR5-FBR3c,d,e,f,R2c,d&gt;IDFPL-HB-medial; PBL5-FBL3c,d,e,f,L4c,d&gt;IDFPR-HB-medial</t>
        </is>
      </c>
      <c r="D167" t="inlineStr">
        <is>
          <t>Small field neuron of the central complex with dendritic arbors in protocerebral bridge slice 6 and in the ipsilateral segment pairs Y and X (columns 2 and 3) or X and W (columns 3 and 4) of the fan-shaped body layers 1 to 4 (layers c to f), and axon terminals in the contralateral crepine (medial hammer body).</t>
        </is>
      </c>
      <c r="E167" t="inlineStr">
        <is>
          <t>Lin et al., 2013, Cell Rep. 3(5): 1739--1753 (flybase.org/reports/FBrf0221742)</t>
        </is>
      </c>
      <c r="F167" t="inlineStr"/>
      <c r="G167" t="inlineStr"/>
      <c r="H167" t="inlineStr"/>
    </row>
    <row r="168">
      <c r="A168">
        <f>HYPERLINK("https://www.ebi.ac.uk/ols/ontologies/fbbt/terms?iri=http://purl.obolibrary.org/obo/FBbt_00111448","FBbt:00111448")</f>
        <v/>
      </c>
      <c r="B168" t="inlineStr">
        <is>
          <t>PB slice 5-FB layers 1 to 4-IDFP HB-medial neuron</t>
        </is>
      </c>
      <c r="C168" t="inlineStr">
        <is>
          <t>PBL4-FBL2c,d,e,f,L3c,d&gt;IDFPR-HB-medial; PBR4-FBR2c,d,e,f,R3c,d&gt;IDFPL-HB-medial</t>
        </is>
      </c>
      <c r="D168" t="inlineStr">
        <is>
          <t>Small field neuron of the central complex with dendritic arbors in protocerebral bridge slice 5 and in the ipsilateral segment pairs Y and X (columns 2 and 3) of the fan-shaped body layers 1 to 4 (layers c to f), and axon terminals in the contralateral crepine (medial hammer body).</t>
        </is>
      </c>
      <c r="E168" t="inlineStr">
        <is>
          <t>Lin et al., 2013, Cell Rep. 3(5): 1739--1753 (flybase.org/reports/FBrf0221742)</t>
        </is>
      </c>
      <c r="F168" t="inlineStr"/>
      <c r="G168" t="inlineStr"/>
      <c r="H168" t="inlineStr"/>
    </row>
    <row r="169">
      <c r="A169">
        <f>HYPERLINK("https://www.ebi.ac.uk/ols/ontologies/fbbt/terms?iri=http://purl.obolibrary.org/obo/FBbt_00050070","FBbt:00050070")</f>
        <v/>
      </c>
      <c r="B169" t="inlineStr">
        <is>
          <t>adult SLPpl2 lineage neuron</t>
        </is>
      </c>
      <c r="C169" t="inlineStr">
        <is>
          <t>None</t>
        </is>
      </c>
      <c r="D169" t="inlineStr">
        <is>
          <t>Any neuron (FBbt:00005106) that is part of some adult brain (FBbt:00003624) and that develops from some neuroblast SLPpl2 (FBbt:00050068).</t>
        </is>
      </c>
      <c r="E169" t="inlineStr">
        <is>
          <t>Yu et al., 2013, Curr. Biol. 23(8): 633--643 (flybase.org/reports/FBrf0221412)</t>
        </is>
      </c>
      <c r="F169" t="inlineStr"/>
      <c r="G169" t="inlineStr"/>
      <c r="H169" t="inlineStr"/>
    </row>
    <row r="170">
      <c r="A170">
        <f>HYPERLINK("https://www.ebi.ac.uk/ols/ontologies/fbbt/terms?iri=http://purl.obolibrary.org/obo/FBbt_00007405","FBbt:00007405")</f>
        <v/>
      </c>
      <c r="B170" t="inlineStr">
        <is>
          <t>adult CSD interneuron</t>
        </is>
      </c>
      <c r="C170" t="inlineStr">
        <is>
          <t>adult CSD; adult IP1-1; adult CSDn; adult CSD neuron; MB-CSD; adult serotonergic IP1-1 neuron; CSD interneuron; AL-5HT1; adult contralaterally innervating serotonin immunoreactive deutocerebral interneuron; adult serotonergic IP1 neuron 1</t>
        </is>
      </c>
      <c r="D170" t="inlineStr">
        <is>
          <t>Large serotonergic interneuron of the adult brain whose cell body is located close to the antennal lobe. Its dendrites innervate the ipsilateral antennal lobe (Roy et al., 2007), then it joins the medial antennal lobe tract, branching out to innervate the ipsilateral mushroom body calyx, lateral horn and the superior neuropils (Roy et al., 2007, Tanaka et al., 2012). It crosses the midline, innervating the same higher brain regions on the contralateral side, then follows the contralateral medial antennal lobe tract to the contralateral antennal lobe (Roy et al., 2007, Tanaka et al., 2012). It innervates all contralateral antennal lobe glomeruli with a non-glomerular pattern (Tanaka et al., 2012). There is one of these cells per hemisphere, which is modified from its larval form during the pupal stage (Roy et al., 2007).</t>
        </is>
      </c>
      <c r="E170" t="inlineStr">
        <is>
          <t>Dacks et al., 2006, J. Comp. Neurol. 498(6): 727--746 (flybase.org/reports/FBrf0195231); Roy et al., 2007, Neural Dev. 2: 20 (flybase.org/reports/FBrf0205432); Giang et al., 2011, J. Neurogenet. 25(1-2): 17--26 (flybase.org/reports/FBrf0213697); Huser et al., 2012, PLoS ONE 7(10): e47518 (flybase.org/reports/FBrf0219731); Tanaka et al., 2012, J. Comp. Neurol. 520(18): 4067--4130 (flybase.org/reports/FBrf0219809)</t>
        </is>
      </c>
      <c r="F170" t="inlineStr"/>
      <c r="G170" t="inlineStr"/>
      <c r="H170" t="inlineStr"/>
    </row>
    <row r="171">
      <c r="A171">
        <f>HYPERLINK("https://www.ebi.ac.uk/ols/ontologies/fbbt/terms?iri=http://purl.obolibrary.org/obo/FBbt_00100230","FBbt:00100230")</f>
        <v/>
      </c>
      <c r="B171" t="inlineStr">
        <is>
          <t>mushroom body medial lobe arborizing neuron 2</t>
        </is>
      </c>
      <c r="C171" t="inlineStr">
        <is>
          <t>MB-M2; PAM-12; PAM-gamma3; MB-M2</t>
        </is>
      </c>
      <c r="D171" t="inlineStr">
        <is>
          <t>A neuron whose cell body lies on the inferior neuropils above the anterior surface of the middle part of the gamma lobe of the adult brain. The cell body fiber runs dorsally on the anterior surface of the gamma lobe, with one branch innervating the middle part of the gamma lobe (slice 3). Another branch further bifurcates on the dorsal surface of the medial lobe. One of these branches terminates in the crepine and superior medial protocerebrum behind the medial lobe, whilst the other turns medially through the border between the gamma and beta' lobes and enters the opposite hemisphere. The fibers from the opposite hemisphere run horizontally, enter the medial lobe through border between the gamma and beta' lobes and forms arborization in the middle part of the gamma lobe (slice 3). It is a dopaminergic neuron of the PAM cluster. There are approximately 9-23 neurons of this type per hemisphere.</t>
        </is>
      </c>
      <c r="E171" t="inlineStr">
        <is>
          <t>Tanaka et al., 2008, J. Comp. Neurol. 508(5): 711--755 (flybase.org/reports/FBrf0205263); Aso et al., 2014, eLife 3: e04577 (flybase.org/reports/FBrf0227179)</t>
        </is>
      </c>
      <c r="F171" t="inlineStr"/>
      <c r="G171" t="inlineStr"/>
      <c r="H171" t="inlineStr"/>
    </row>
    <row r="172">
      <c r="A172">
        <f>HYPERLINK("https://www.ebi.ac.uk/ols/ontologies/fbbt/terms?iri=http://purl.obolibrary.org/obo/FBbt_00100231","FBbt:00100231")</f>
        <v/>
      </c>
      <c r="B172" t="inlineStr">
        <is>
          <t>mushroom body medial lobe arborizing neuron 3</t>
        </is>
      </c>
      <c r="C172" t="inlineStr">
        <is>
          <t>PAM-03; MB-M3; MB-M3', "PAM-beta2beta'2a"]</t>
        </is>
      </c>
      <c r="D172" t="inlineStr">
        <is>
          <t>A dopaminergic neuron of the PAM cluster whose cell body is found on the inferior neuropils near the junction of the lobes. The cell body fiber arborizes in the inferior and superior neuropils. The main fiber runs medially towards the tip of the medial lobe. Before entering the beta lobe, fibers branch off to project to the opposite hemisphere. The axonal fibers entering the beta lobe arborize sparsely in the posterior and surface layers of the medial segment (Tanaka et al., 2008) and in the anterior layer of the beta' lobe medial segment (Aso et al., 2010). There are less than 3 neurons of this type in each hemisphere.</t>
        </is>
      </c>
      <c r="E172" t="inlineStr">
        <is>
          <t>Tanaka et al., 2008, J. Comp. Neurol. 508(5): 711--755 (flybase.org/reports/FBrf0205263); Aso et al., 2010, Curr. Biol. 20(16): 1445--1451 (flybase.org/reports/FBrf0211625); Aso et al., 2014, eLife 3: e04577 (flybase.org/reports/FBrf0227179)</t>
        </is>
      </c>
      <c r="F172" t="inlineStr"/>
      <c r="G172" t="inlineStr"/>
      <c r="H172" t="inlineStr"/>
    </row>
    <row r="173">
      <c r="A173">
        <f>HYPERLINK("https://www.ebi.ac.uk/ols/ontologies/fbbt/terms?iri=http://purl.obolibrary.org/obo/FBbt_00100373","FBbt:00100373")</f>
        <v/>
      </c>
      <c r="B173" t="inlineStr">
        <is>
          <t>multiglomerular antennal lobe projection neuron L4 adPN</t>
        </is>
      </c>
      <c r="C173" t="inlineStr">
        <is>
          <t>poly[L4] adPN</t>
        </is>
      </c>
      <c r="D173" t="inlineStr">
        <is>
          <t>Multiglomerular adult antennal lobe projection neuron of the adPN lineage. It is born from the 21st larval division of the neuroblast ALad1 (FBbt:00067346), after the division that produces L3 adPN. Its innervation targets include parts of glomeruli VL2a, Dl1l, DL2v and DL2d.</t>
        </is>
      </c>
      <c r="E173" t="inlineStr">
        <is>
          <t>Yu et al., 2010, PLoS Biol. 8(8): (flybase.org/reports/FBrf0211729)</t>
        </is>
      </c>
      <c r="F173" t="inlineStr"/>
      <c r="G173" t="inlineStr"/>
      <c r="H173" t="inlineStr"/>
    </row>
    <row r="174">
      <c r="A174">
        <f>HYPERLINK("https://www.ebi.ac.uk/ols/ontologies/fbbt/terms?iri=http://purl.obolibrary.org/obo/FBbt_00100374","FBbt:00100374")</f>
        <v/>
      </c>
      <c r="B174" t="inlineStr">
        <is>
          <t>multiglomerular antennal lobe projection neuron emb adPN</t>
        </is>
      </c>
      <c r="C174" t="inlineStr">
        <is>
          <t>poly[emb] adPN</t>
        </is>
      </c>
      <c r="D174" t="inlineStr">
        <is>
          <t>Multiglomerular adult antennal lobe projection neuron of the adPN lineage. It is born from the antero-dorsal neuroblast, from the 12th embryonic division of the neuroblast ALad1 (FBbt:00067346) after the division that produce DC1 adPN.</t>
        </is>
      </c>
      <c r="E174" t="inlineStr">
        <is>
          <t>Yu et al., 2010, PLoS Biol. 8(8): (flybase.org/reports/FBrf0211729)</t>
        </is>
      </c>
      <c r="F174" t="inlineStr"/>
      <c r="G174" t="inlineStr"/>
      <c r="H174" t="inlineStr"/>
    </row>
    <row r="175">
      <c r="A175">
        <f>HYPERLINK("https://www.ebi.ac.uk/ols/ontologies/fbbt/terms?iri=http://purl.obolibrary.org/obo/FBbt_00110397","FBbt:00110397")</f>
        <v/>
      </c>
      <c r="B175" t="inlineStr">
        <is>
          <t>adult VPNp3 lineage neuron</t>
        </is>
      </c>
      <c r="C175" t="inlineStr">
        <is>
          <t>None</t>
        </is>
      </c>
      <c r="D175" t="inlineStr">
        <is>
          <t>Any neuron (FBbt:00005106) that is part of some adult brain (FBbt:00003624) and that develops from some neuroblast VPNp3 (FBbt:00110395).</t>
        </is>
      </c>
      <c r="E175" t="inlineStr">
        <is>
          <t>Ito et al., 2013, Curr. Biol. 23(8): 644--655 (flybase.org/reports/FBrf0221438)</t>
        </is>
      </c>
      <c r="F175" t="inlineStr"/>
      <c r="G175" t="inlineStr"/>
      <c r="H175" t="inlineStr"/>
    </row>
    <row r="176">
      <c r="A176">
        <f>HYPERLINK("https://www.ebi.ac.uk/ols/ontologies/fbbt/terms?iri=http://purl.obolibrary.org/obo/FBbt_00111430","FBbt:00111430")</f>
        <v/>
      </c>
      <c r="B176" t="inlineStr">
        <is>
          <t>PB slice 6-FB layers 3-5-IDFP RB neuron</t>
        </is>
      </c>
      <c r="C176" t="inlineStr">
        <is>
          <t>PBR6-FBR3c,d&gt;IDFPL-RB; PBL6-FBL3c,d&gt;IDFPR-RB</t>
        </is>
      </c>
      <c r="D176" t="inlineStr">
        <is>
          <t>Small field neuron of the central complex with dendritic arbors in protocerebral bridge slice 6, ipsilateral fan-shaped body layers 3, 4 and 5 (layers b, c, d) and segment pair X (column 3), and axon terminals in the contralateral rubus (round body of IDFP).</t>
        </is>
      </c>
      <c r="E176" t="inlineStr">
        <is>
          <t>Lin et al., 2013, Cell Rep. 3(5): 1739--1753 (flybase.org/reports/FBrf0221742); Wolff et al., 2015, J. Comp. Neurol. 523(7): 997--1037 (flybase.org/reports/FBrf0227801)</t>
        </is>
      </c>
      <c r="F176" t="inlineStr"/>
      <c r="G176" t="inlineStr"/>
      <c r="H176" t="inlineStr"/>
    </row>
    <row r="177">
      <c r="A177">
        <f>HYPERLINK("https://www.ebi.ac.uk/ols/ontologies/fbbt/terms?iri=http://purl.obolibrary.org/obo/FBbt_00100371","FBbt:00100371")</f>
        <v/>
      </c>
      <c r="B177" t="inlineStr">
        <is>
          <t>multiglomerular antennal lobe projection neuron L2 adPN</t>
        </is>
      </c>
      <c r="C177" t="inlineStr">
        <is>
          <t>poly[L2] adPN</t>
        </is>
      </c>
      <c r="D177" t="inlineStr">
        <is>
          <t>Multiglomerular adult antennal lobe projection neuron of the adPN lineage. It is born from the 19th larval division of the neuroblast ALad1 (FBbt:00067346), after the division that produced L1 adPN. Its innervation targets include parts of glomeruli VM4 and VL2p.</t>
        </is>
      </c>
      <c r="E177" t="inlineStr">
        <is>
          <t>Yu et al., 2010, PLoS Biol. 8(8): (flybase.org/reports/FBrf0211729)</t>
        </is>
      </c>
      <c r="F177" t="inlineStr"/>
      <c r="G177" t="inlineStr"/>
      <c r="H177" t="inlineStr"/>
    </row>
    <row r="178">
      <c r="A178">
        <f>HYPERLINK("https://www.ebi.ac.uk/ols/ontologies/fbbt/terms?iri=http://purl.obolibrary.org/obo/FBbt_00050129","FBbt:00050129")</f>
        <v/>
      </c>
      <c r="B178" t="inlineStr">
        <is>
          <t>adult AOTUv3 lineage neuron</t>
        </is>
      </c>
      <c r="C178" t="inlineStr">
        <is>
          <t>None</t>
        </is>
      </c>
      <c r="D178" t="inlineStr">
        <is>
          <t>Any neuron (FBbt:00005106) that is part of some adult brain (FBbt:00003624) and that develops from some neuroblast AOTUv3 (FBbt:00050127).</t>
        </is>
      </c>
      <c r="E178" t="inlineStr">
        <is>
          <t>Yu et al., 2013, Curr. Biol. 23(8): 633--643 (flybase.org/reports/FBrf0221412); Ito et al., 2013, Curr. Biol. 23(8): 644--655 (flybase.org/reports/FBrf0221438)</t>
        </is>
      </c>
      <c r="F178" t="inlineStr"/>
      <c r="G178" t="inlineStr"/>
      <c r="H178" t="inlineStr"/>
    </row>
    <row r="179">
      <c r="A179">
        <f>HYPERLINK("https://www.ebi.ac.uk/ols/ontologies/fbbt/terms?iri=http://purl.obolibrary.org/obo/FBbt_00100372","FBbt:00100372")</f>
        <v/>
      </c>
      <c r="B179" t="inlineStr">
        <is>
          <t>multiglomerular antennal lobe projection neuron L3 adPN</t>
        </is>
      </c>
      <c r="C179" t="inlineStr">
        <is>
          <t>poly[L3] adPN</t>
        </is>
      </c>
      <c r="D179" t="inlineStr">
        <is>
          <t>Multiglomerular adult antennal lobe projection neuron of the adPN lineage. It is born from the 20th larval division of the neuroblast ALad1 (FBbt:00067346), after the division that produces L2 adPN. Its dendrites innervate glomeruli VL2p, VL2a and DL1l.</t>
        </is>
      </c>
      <c r="E179" t="inlineStr">
        <is>
          <t>Yu et al., 2010, PLoS Biol. 8(8): (flybase.org/reports/FBrf0211729)</t>
        </is>
      </c>
      <c r="F179" t="inlineStr"/>
      <c r="G179" t="inlineStr"/>
      <c r="H179" t="inlineStr"/>
    </row>
    <row r="180">
      <c r="A180">
        <f>HYPERLINK("https://www.ebi.ac.uk/ols/ontologies/fbbt/terms?iri=http://purl.obolibrary.org/obo/FBbt_00050126","FBbt:00050126")</f>
        <v/>
      </c>
      <c r="B180" t="inlineStr">
        <is>
          <t>adult SLPad1 lineage neuron</t>
        </is>
      </c>
      <c r="C180" t="inlineStr">
        <is>
          <t>None</t>
        </is>
      </c>
      <c r="D180" t="inlineStr">
        <is>
          <t>Any neuron (FBbt:00005106) that is part of some adult brain (FBbt:00003624) and that develops from some neuroblast SLPad1 (FBbt:00050124).</t>
        </is>
      </c>
      <c r="E180" t="inlineStr">
        <is>
          <t>Yu et al., 2013, Curr. Biol. 23(8): 633--643 (flybase.org/reports/FBrf0221412); Ito et al., 2013, Curr. Biol. 23(8): 644--655 (flybase.org/reports/FBrf0221438)</t>
        </is>
      </c>
      <c r="F180" t="inlineStr"/>
      <c r="G180" t="inlineStr"/>
      <c r="H180" t="inlineStr"/>
    </row>
    <row r="181">
      <c r="A181">
        <f>HYPERLINK("https://www.ebi.ac.uk/ols/ontologies/fbbt/terms?iri=http://purl.obolibrary.org/obo/FBbt_00100370","FBbt:00100370")</f>
        <v/>
      </c>
      <c r="B181" t="inlineStr">
        <is>
          <t>multiglomerular antennal lobe projection neuron L1 adPN</t>
        </is>
      </c>
      <c r="C181" t="inlineStr">
        <is>
          <t>poly[L1] adPN</t>
        </is>
      </c>
      <c r="D181" t="inlineStr">
        <is>
          <t>Multiglomerular adult antennal lobe projection neuron of the adPN lineage. It is born from the 18th larval division of the neuroblast ALad1 (FBbt:00067346), after the division that produced VC3 adPN. Its innervation targets include parts of glomeruli DC3, VC3 and VM4.</t>
        </is>
      </c>
      <c r="E181" t="inlineStr">
        <is>
          <t>Yu et al., 2010, PLoS Biol. 8(8): (flybase.org/reports/FBrf0211729)</t>
        </is>
      </c>
      <c r="F181" t="inlineStr"/>
      <c r="G181" t="inlineStr"/>
      <c r="H181" t="inlineStr"/>
    </row>
    <row r="182">
      <c r="A182">
        <f>HYPERLINK("https://www.ebi.ac.uk/ols/ontologies/fbbt/terms?iri=http://purl.obolibrary.org/obo/FBbt_00110984","FBbt:00110984")</f>
        <v/>
      </c>
      <c r="B182" t="inlineStr">
        <is>
          <t>dopaminergic T1 neuron</t>
        </is>
      </c>
      <c r="C182" t="inlineStr">
        <is>
          <t>T1</t>
        </is>
      </c>
      <c r="D182" t="inlineStr">
        <is>
          <t>Dopaminergic neuron whose cell body is located in a medial position near the esophageal foramen. It innervates the tritocerebrum, projecting to the protocerebral bridge.</t>
        </is>
      </c>
      <c r="E182" t="inlineStr">
        <is>
          <t>Nassel and Elekes, 1992, Cell Tissue Res. 267(1): 147--167 (flybase.org/reports/FBrf0055596); Alekseyenko et al., 2013, Proc. Natl. Acad. Sci. U.S.A. 110(15): 6151--6156 (flybase.org/reports/FBrf0221280)</t>
        </is>
      </c>
      <c r="F182" t="inlineStr"/>
      <c r="G182" t="inlineStr"/>
      <c r="H182" t="inlineStr"/>
    </row>
    <row r="183">
      <c r="A183">
        <f>HYPERLINK("https://www.ebi.ac.uk/ols/ontologies/fbbt/terms?iri=http://purl.obolibrary.org/obo/FBbt_00111376","FBbt:00111376")</f>
        <v/>
      </c>
      <c r="B183" t="inlineStr">
        <is>
          <t>PB slice 1-EB core-IDFP DSB neuron</t>
        </is>
      </c>
      <c r="C183" t="inlineStr">
        <is>
          <t>PBR1&gt;EBL6C;L7C-IDFPL-DSB</t>
        </is>
      </c>
      <c r="D183" t="inlineStr">
        <is>
          <t>Interneuron that has dendritic arbors in protocerebral bridge glomerulus 1 and axon terminals in the inner ring of the contralateral ellipsoid body slices 6 and 7, and in the dorsal gall (dorsal spindle body).</t>
        </is>
      </c>
      <c r="E183" t="inlineStr">
        <is>
          <t>Lin et al., 2013, Cell Rep. 3(5): 1739--1753 (flybase.org/reports/FBrf0221742); Ito et al., 2014, Neuron 81(4): 755--765 (flybase.org/reports/FBrf0224194); Wolff et al., 2015, J. Comp. Neurol. 523(7): 997--1037 (flybase.org/reports/FBrf0227801)</t>
        </is>
      </c>
      <c r="F183" t="inlineStr"/>
      <c r="G183" t="inlineStr"/>
      <c r="H183" t="inlineStr"/>
    </row>
    <row r="184">
      <c r="A184">
        <f>HYPERLINK("https://www.ebi.ac.uk/ols/ontologies/fbbt/terms?iri=http://purl.obolibrary.org/obo/FBbt_00110391","FBbt:00110391")</f>
        <v/>
      </c>
      <c r="B184" t="inlineStr">
        <is>
          <t>adult VPNd4 lineage neuron</t>
        </is>
      </c>
      <c r="C184" t="inlineStr">
        <is>
          <t>None</t>
        </is>
      </c>
      <c r="D184" t="inlineStr">
        <is>
          <t>Any neuron (FBbt:00005106) that is part of some adult brain (FBbt:00003624) and that develops from some neuroblast VPNd4 (FBbt:00110389).</t>
        </is>
      </c>
      <c r="E184" t="inlineStr">
        <is>
          <t>Ito et al., 2013, Curr. Biol. 23(8): 644--655 (flybase.org/reports/FBrf0221438)</t>
        </is>
      </c>
      <c r="F184" t="inlineStr"/>
      <c r="G184" t="inlineStr"/>
      <c r="H184" t="inlineStr"/>
    </row>
    <row r="185">
      <c r="A185">
        <f>HYPERLINK("https://www.ebi.ac.uk/ols/ontologies/fbbt/terms?iri=http://purl.obolibrary.org/obo/FBbt_00003870","FBbt:00003870")</f>
        <v/>
      </c>
      <c r="B185" t="inlineStr">
        <is>
          <t>lobula columnar neuron</t>
        </is>
      </c>
      <c r="C185" t="inlineStr">
        <is>
          <t>LCN; lobular columnar neuron; Lcn; LC</t>
        </is>
      </c>
      <c r="D185" t="inlineStr">
        <is>
          <t>An extrinsic columnar neuron that innervates the lobula.</t>
        </is>
      </c>
      <c r="E185" t="inlineStr">
        <is>
          <t>Fischbach and Dittrich, 1989, Cell Tissue Res. 258(3): 441--475 (flybase.org/reports/FBrf0049410)</t>
        </is>
      </c>
      <c r="F185" t="inlineStr"/>
      <c r="G185" t="inlineStr"/>
      <c r="H185" t="inlineStr"/>
    </row>
    <row r="186">
      <c r="A186">
        <f>HYPERLINK("https://www.ebi.ac.uk/ols/ontologies/fbbt/terms?iri=http://purl.obolibrary.org/obo/FBbt_00050079","FBbt:00050079")</f>
        <v/>
      </c>
      <c r="B186" t="inlineStr">
        <is>
          <t>adult SIPp1 lineage neuron</t>
        </is>
      </c>
      <c r="C186" t="inlineStr">
        <is>
          <t>None</t>
        </is>
      </c>
      <c r="D186" t="inlineStr">
        <is>
          <t>Any neuron (FBbt:00005106) that is part of some adult brain (FBbt:00003624) and that develops from some neuroblast SIPp1 (FBbt:00050077).</t>
        </is>
      </c>
      <c r="E186" t="inlineStr">
        <is>
          <t>Yu et al., 2013, Curr. Biol. 23(8): 633--643 (flybase.org/reports/FBrf0221412)</t>
        </is>
      </c>
      <c r="F186" t="inlineStr"/>
      <c r="G186" t="inlineStr"/>
      <c r="H186" t="inlineStr"/>
    </row>
    <row r="187">
      <c r="A187">
        <f>HYPERLINK("https://www.ebi.ac.uk/ols/ontologies/fbbt/terms?iri=http://purl.obolibrary.org/obo/FBbt_00110058","FBbt:00110058")</f>
        <v/>
      </c>
      <c r="B187" t="inlineStr">
        <is>
          <t>adult Leucokinin LHLK lateral horn neuron</t>
        </is>
      </c>
      <c r="C187" t="inlineStr">
        <is>
          <t>adult lateral horn LHLK Leucokinin neuron; adult LHLK neuron; lateral horn leucokinin neuron</t>
        </is>
      </c>
      <c r="D187" t="inlineStr">
        <is>
          <t>Adult neuron that expresses Leucokinin (FBgn0028418) and whose large cell body is located in the lateral horn. Its thin processes run ventrally before bifurcating into two main collateral branches which innervate the superior lateral and median protocerebrum, the region around the mushroom body pedunculus and the mushroom body calyx. There is one neuron per hemisphere (de Haro et al., 2010).</t>
        </is>
      </c>
      <c r="E187" t="inlineStr">
        <is>
          <t>Herrero et al., 2003, J. Comp. Neurol. 457(2): 123--132 (flybase.org/reports/FBrf0155902); de Haro et al., 2010, Cell Tissue Res. 339(2): 321--336 (flybase.org/reports/FBrf0209907)</t>
        </is>
      </c>
      <c r="F187" t="inlineStr"/>
      <c r="G187" t="inlineStr"/>
      <c r="H187" t="inlineStr"/>
    </row>
    <row r="188">
      <c r="A188">
        <f>HYPERLINK("https://www.ebi.ac.uk/ols/ontologies/fbbt/terms?iri=http://purl.obolibrary.org/obo/FBbt_00047718","FBbt:00047718")</f>
        <v/>
      </c>
      <c r="B188" t="inlineStr">
        <is>
          <t>transverse antennal lobe tract 1 projection neuron 1</t>
        </is>
      </c>
      <c r="C188" t="inlineStr">
        <is>
          <t>AL-t1PN1</t>
        </is>
      </c>
      <c r="D188" t="inlineStr">
        <is>
          <t>Adult antennal lobe (AL) projection neuron that fasciculates with transverse antennal lobe tract 1. This neuron is unilateral and multiglomerular, with a cell body at the lateral side of the AL. It is unusual in that it forms both glomerular and non-glomerular arborizations within the AL. It follows the t1ALT to the medial part of the lateral horn.</t>
        </is>
      </c>
      <c r="E188" t="inlineStr">
        <is>
          <t>Tanaka et al., 2012, J. Comp. Neurol. 520(18): 4067--4130 (flybase.org/reports/FBrf0219809)</t>
        </is>
      </c>
      <c r="F188" t="inlineStr"/>
      <c r="G188" t="inlineStr"/>
      <c r="H188" t="inlineStr"/>
    </row>
    <row r="189">
      <c r="A189">
        <f>HYPERLINK("https://www.ebi.ac.uk/ols/ontologies/fbbt/terms?iri=http://purl.obolibrary.org/obo/FBbt_00111375","FBbt:00111375")</f>
        <v/>
      </c>
      <c r="B189" t="inlineStr">
        <is>
          <t>PB 1 glomerulus-EB core-IDFP DSB neuron</t>
        </is>
      </c>
      <c r="C189" t="inlineStr">
        <is>
          <t>PBG1-8.s-EBt.b-D/Vgall.b neuron; PB1-glomerulus&gt;EBC-IDFPL-DSB; PEI neuron; PEIR; PB1-glomerulus&gt;EBC-IDFPR-DSB; PEIL</t>
        </is>
      </c>
      <c r="D189" t="inlineStr">
        <is>
          <t>Interneuron that connects the protocerebral bridge (except slice 9), the inner ring of the ellipsoid body and dorsal or ventral gall (dorsal or ventral spindle body). Neurons that arborize a odd-numbered protocerebral bridge slice project to the dorsal gall, whereas even-numbered ones project to the ventral gall.</t>
        </is>
      </c>
      <c r="E189" t="inlineStr">
        <is>
          <t>Lin et al., 2013, Cell Rep. 3(5): 1739--1753 (flybase.org/reports/FBrf0221742); Ito et al., 2014, Neuron 81(4): 755--765 (flybase.org/reports/FBrf0224194); Wolff et al., 2015, J. Comp. Neurol. 523(7): 997--1037 (flybase.org/reports/FBrf0227801)</t>
        </is>
      </c>
      <c r="F189" t="inlineStr"/>
      <c r="G189" t="inlineStr"/>
      <c r="H189" t="inlineStr"/>
    </row>
    <row r="190">
      <c r="A190">
        <f>HYPERLINK("https://www.ebi.ac.uk/ols/ontologies/fbbt/terms?iri=http://purl.obolibrary.org/obo/FBbt_00047719","FBbt:00047719")</f>
        <v/>
      </c>
      <c r="B190" t="inlineStr">
        <is>
          <t>transverse antennal lobe tract 3 projection neuron 1</t>
        </is>
      </c>
      <c r="C190" t="inlineStr">
        <is>
          <t>AL-t3PN1</t>
        </is>
      </c>
      <c r="D190" t="inlineStr">
        <is>
          <t>Unilateral multiglomerular antennal lobe (AL) projection neuron that fasciculates with the transverse antennal lobe tract. The cell body is located lateral to the antennal lobe and dendrites form non-glomerular arborizations in the AL. It follows the t3ALT and terminates in the anterior posterior lateral protocerebrum, dorsal to the antennal mechanosensory and motor center.</t>
        </is>
      </c>
      <c r="E190" t="inlineStr">
        <is>
          <t>Tanaka et al., 2012, J. Comp. Neurol. 520(18): 4067--4130 (flybase.org/reports/FBrf0219809)</t>
        </is>
      </c>
      <c r="F190" t="inlineStr"/>
      <c r="G190" t="inlineStr"/>
      <c r="H190" t="inlineStr"/>
    </row>
    <row r="191">
      <c r="A191">
        <f>HYPERLINK("https://www.ebi.ac.uk/ols/ontologies/fbbt/terms?iri=http://purl.obolibrary.org/obo/FBbt_00050076","FBbt:00050076")</f>
        <v/>
      </c>
      <c r="B191" t="inlineStr">
        <is>
          <t>adult VLPl&amp;d1 lineage neuron</t>
        </is>
      </c>
      <c r="C191" t="inlineStr">
        <is>
          <t>adult VLPl_d1 lineage neuron</t>
        </is>
      </c>
      <c r="D191" t="inlineStr">
        <is>
          <t>Any neuron (FBbt:00005106) that is part of some adult brain (FBbt:00003624) and that develops from some neuroblast VLPl&amp;d1 (FBbt:00050074).</t>
        </is>
      </c>
      <c r="E191" t="inlineStr">
        <is>
          <t>Yu et al., 2013, Curr. Biol. 23(8): 633--643 (flybase.org/reports/FBrf0221412); Ito et al., 2013, Curr. Biol. 23(8): 644--655 (flybase.org/reports/FBrf0221438)</t>
        </is>
      </c>
      <c r="F191" t="inlineStr"/>
      <c r="G191" t="inlineStr"/>
      <c r="H191" t="inlineStr"/>
    </row>
    <row r="192">
      <c r="A192">
        <f>HYPERLINK("https://www.ebi.ac.uk/ols/ontologies/fbbt/terms?iri=http://purl.obolibrary.org/obo/FBbt_00111629","FBbt:00111629")</f>
        <v/>
      </c>
      <c r="B192" t="inlineStr">
        <is>
          <t>adult odd neuron of the central brain</t>
        </is>
      </c>
      <c r="C192" t="inlineStr">
        <is>
          <t>adult Odd neuron of the central brain</t>
        </is>
      </c>
      <c r="D192" t="inlineStr">
        <is>
          <t>Neuron of the adult brain whose soma is located in the cell body rind of the lateral neuropils. It arborizes in several neuropils, including the superior protocerebrum, clamp, crepine, bulb, antler, lateral accessory lobe, inferior clamp, ventral complex, ventrolateral protocerebrum, wedge and lateral horn. It forms both pre- and postsynaptic terminals, except in the wedge where they are exclusively the of latter type. The morphology of these neurons is varied regarding the neuropils and hemisphere (ipsi- or contralateral) they arborize in. It expresses odd skipped (FBgn0002985).</t>
        </is>
      </c>
      <c r="E192" t="inlineStr">
        <is>
          <t>Levy and Larsen, 2013, J. Comp. Neurol. 521(16): 3716--3740 (flybase.org/reports/FBrf0222803)</t>
        </is>
      </c>
      <c r="F192" t="inlineStr"/>
      <c r="G192" t="inlineStr"/>
      <c r="H192" t="inlineStr"/>
    </row>
    <row r="193">
      <c r="A193">
        <f>HYPERLINK("https://www.ebi.ac.uk/ols/ontologies/fbbt/terms?iri=http://purl.obolibrary.org/obo/FBbt_00111379","FBbt:00111379")</f>
        <v/>
      </c>
      <c r="B193" t="inlineStr">
        <is>
          <t>PB slice 6-EB core-IDFP DSB neuron</t>
        </is>
      </c>
      <c r="C193" t="inlineStr">
        <is>
          <t>PBL6&gt;EBL4C;L5C-IDFPR-DSB; PBR6&gt;EBR4C;R5C-IDFPL-DSB</t>
        </is>
      </c>
      <c r="D193" t="inlineStr">
        <is>
          <t>Interneuron that has dendritic arbors in protocerebral bridge glomerulus 6 and axon terminals in the inner ring of the ipsilateral ellipsoid body slices 4 and 5, and in the contralateral ventral gall (ventral spindle body).</t>
        </is>
      </c>
      <c r="E193" t="inlineStr">
        <is>
          <t>Lin et al., 2013, Cell Rep. 3(5): 1739--1753 (flybase.org/reports/FBrf0221742); Ito et al., 2014, Neuron 81(4): 755--765 (flybase.org/reports/FBrf0224194); Wolff et al., 2015, J. Comp. Neurol. 523(7): 997--1037 (flybase.org/reports/FBrf0227801)</t>
        </is>
      </c>
      <c r="F193" t="inlineStr"/>
      <c r="G193" t="inlineStr"/>
      <c r="H193" t="inlineStr"/>
    </row>
    <row r="194">
      <c r="A194">
        <f>HYPERLINK("https://www.ebi.ac.uk/ols/ontologies/fbbt/terms?iri=http://purl.obolibrary.org/obo/FBbt_00111628","FBbt:00111628")</f>
        <v/>
      </c>
      <c r="B194" t="inlineStr">
        <is>
          <t>adult odd neuron of the calyx</t>
        </is>
      </c>
      <c r="C194" t="inlineStr">
        <is>
          <t>adult Odd neuron of the calyx</t>
        </is>
      </c>
      <c r="D194" t="inlineStr">
        <is>
          <t>Neuron of the adult brain whose soma is located in the cell body rind of the lateral neuropils. It arborizes in several neuropils, including the superior protocerebrum, clamp, crepine, bulb, antler and forms postsynaptic terminals in the mushroom body calyx. It expresses odd skipped (FBgn0002985).</t>
        </is>
      </c>
      <c r="E194" t="inlineStr">
        <is>
          <t>Levy and Larsen, 2013, J. Comp. Neurol. 521(16): 3716--3740 (flybase.org/reports/FBrf0222803)</t>
        </is>
      </c>
      <c r="F194" t="inlineStr"/>
      <c r="G194" t="inlineStr"/>
      <c r="H194" t="inlineStr"/>
    </row>
    <row r="195">
      <c r="A195">
        <f>HYPERLINK("https://www.ebi.ac.uk/ols/ontologies/fbbt/terms?iri=http://purl.obolibrary.org/obo/FBbt_00111378","FBbt:00111378")</f>
        <v/>
      </c>
      <c r="B195" t="inlineStr">
        <is>
          <t>PB slice 5-EB core-IDFP DSB neuron</t>
        </is>
      </c>
      <c r="C195" t="inlineStr">
        <is>
          <t>PBL5&gt;EBL2C;L3C-IDFPR-DSB</t>
        </is>
      </c>
      <c r="D195" t="inlineStr">
        <is>
          <t>Interneuron that has dendritic arbors in protocerebral bridge glomerulus 5 and axon terminals in the inner ring of the ipsilateral ellipsoid body slices 2 and 3, and in the contralateral dorsal gall (dorsal spindle body).</t>
        </is>
      </c>
      <c r="E195" t="inlineStr">
        <is>
          <t>Lin et al., 2013, Cell Rep. 3(5): 1739--1753 (flybase.org/reports/FBrf0221742); Ito et al., 2014, Neuron 81(4): 755--765 (flybase.org/reports/FBrf0224194); Wolff et al., 2015, J. Comp. Neurol. 523(7): 997--1037 (flybase.org/reports/FBrf0227801)</t>
        </is>
      </c>
      <c r="F195" t="inlineStr"/>
      <c r="G195" t="inlineStr"/>
      <c r="H195" t="inlineStr"/>
    </row>
    <row r="196">
      <c r="A196">
        <f>HYPERLINK("https://www.ebi.ac.uk/ols/ontologies/fbbt/terms?iri=http://purl.obolibrary.org/obo/FBbt_00110394","FBbt:00110394")</f>
        <v/>
      </c>
      <c r="B196" t="inlineStr">
        <is>
          <t>adult VPNp2 lineage neuron</t>
        </is>
      </c>
      <c r="C196" t="inlineStr">
        <is>
          <t>None</t>
        </is>
      </c>
      <c r="D196" t="inlineStr">
        <is>
          <t>Any neuron (FBbt:00005106) that is part of some adult brain (FBbt:00003624) and that develops from some neuroblast VPNp2 (FBbt:00110392).</t>
        </is>
      </c>
      <c r="E196" t="inlineStr">
        <is>
          <t>Ito et al., 2013, Curr. Biol. 23(8): 644--655 (flybase.org/reports/FBrf0221438)</t>
        </is>
      </c>
      <c r="F196" t="inlineStr"/>
      <c r="G196" t="inlineStr"/>
      <c r="H196" t="inlineStr"/>
    </row>
    <row r="197">
      <c r="A197">
        <f>HYPERLINK("https://www.ebi.ac.uk/ols/ontologies/fbbt/terms?iri=http://purl.obolibrary.org/obo/FBbt_00111377","FBbt:00111377")</f>
        <v/>
      </c>
      <c r="B197" t="inlineStr">
        <is>
          <t>PB slice 4-EB core-IDFP DSB neuron</t>
        </is>
      </c>
      <c r="C197" t="inlineStr">
        <is>
          <t>PBL4&gt;EBR1C;L1C-IDFPR-DSB</t>
        </is>
      </c>
      <c r="D197" t="inlineStr">
        <is>
          <t>Interneuron that has dendritic arbors in protocerebral bridge glomerulus 4 and axon terminals in the inner ring of both ellipsoid body slices 1, and in the contralateral ventral gall (ventral spindle body).</t>
        </is>
      </c>
      <c r="E197" t="inlineStr">
        <is>
          <t>Lin et al., 2013, Cell Rep. 3(5): 1739--1753 (flybase.org/reports/FBrf0221742); Ito et al., 2014, Neuron 81(4): 755--765 (flybase.org/reports/FBrf0224194); Wolff et al., 2015, J. Comp. Neurol. 523(7): 997--1037 (flybase.org/reports/FBrf0227801)</t>
        </is>
      </c>
      <c r="F197" t="inlineStr"/>
      <c r="G197" t="inlineStr"/>
      <c r="H197" t="inlineStr"/>
    </row>
    <row r="198">
      <c r="A198">
        <f>HYPERLINK("https://www.ebi.ac.uk/ols/ontologies/fbbt/terms?iri=http://purl.obolibrary.org/obo/FBbt_00050073","FBbt:00050073")</f>
        <v/>
      </c>
      <c r="B198" t="inlineStr">
        <is>
          <t>adult WEDd2 lineage neuron</t>
        </is>
      </c>
      <c r="C198" t="inlineStr">
        <is>
          <t>None</t>
        </is>
      </c>
      <c r="D198" t="inlineStr">
        <is>
          <t>Any neuron (FBbt:00005106) that is part of some adult brain (FBbt:00003624) and that develops from some neuroblast WEDd2 (FBbt:00050071).</t>
        </is>
      </c>
      <c r="E198" t="inlineStr">
        <is>
          <t>Yu et al., 2013, Curr. Biol. 23(8): 633--643 (flybase.org/reports/FBrf0221412); Ito et al., 2013, Curr. Biol. 23(8): 644--655 (flybase.org/reports/FBrf0221438)</t>
        </is>
      </c>
      <c r="F198" t="inlineStr"/>
      <c r="G198" t="inlineStr"/>
      <c r="H198" t="inlineStr"/>
    </row>
    <row r="199">
      <c r="A199">
        <f>HYPERLINK("https://www.ebi.ac.uk/ols/ontologies/fbbt/terms?iri=http://purl.obolibrary.org/obo/FBbt_00050275","FBbt:00050275")</f>
        <v/>
      </c>
      <c r="B199" t="inlineStr">
        <is>
          <t>adult CREa2 lineage neuron</t>
        </is>
      </c>
      <c r="C199" t="inlineStr">
        <is>
          <t>None</t>
        </is>
      </c>
      <c r="D199" t="inlineStr">
        <is>
          <t>Any neuron (FBbt:00005106) that is part of some adult brain (FBbt:00003624) and that develops from some neuroblast CREa2 (FBbt:00050273).</t>
        </is>
      </c>
      <c r="E199" t="inlineStr">
        <is>
          <t>Yu et al., 2013, Curr. Biol. 23(8): 633--643 (flybase.org/reports/FBrf0221412); Ito et al., 2013, Curr. Biol. 23(8): 644--655 (flybase.org/reports/FBrf0221438)</t>
        </is>
      </c>
      <c r="F199" t="inlineStr"/>
      <c r="G199" t="inlineStr"/>
      <c r="H199" t="inlineStr"/>
    </row>
    <row r="200">
      <c r="A200">
        <f>HYPERLINK("https://www.ebi.ac.uk/ols/ontologies/fbbt/terms?iri=http://purl.obolibrary.org/obo/FBbt_00111630","FBbt:00111630")</f>
        <v/>
      </c>
      <c r="B200" t="inlineStr">
        <is>
          <t>adult odd neuron of the lobula plate</t>
        </is>
      </c>
      <c r="C200" t="inlineStr">
        <is>
          <t>adult Odd neuron of the lobula plate</t>
        </is>
      </c>
      <c r="D200" t="inlineStr">
        <is>
          <t>Neuron of the adult brain that arborizes in the ventrolateral protocerebrum, wedge and lobula plate, forming pre- and postsynaptic terminals in the latter. The morphology of these neurons is varied regarding the hemisphere (ipsi- or contralateral) they arborize in. It expresses odd skipped (FBgn0002985). There are 3 of these neurons.</t>
        </is>
      </c>
      <c r="E200" t="inlineStr">
        <is>
          <t>Levy and Larsen, 2013, J. Comp. Neurol. 521(16): 3716--3740 (flybase.org/reports/FBrf0222803)</t>
        </is>
      </c>
      <c r="F200" t="inlineStr"/>
      <c r="G200" t="inlineStr"/>
      <c r="H200" t="inlineStr"/>
    </row>
    <row r="201">
      <c r="A201">
        <f>HYPERLINK("https://www.ebi.ac.uk/ols/ontologies/fbbt/terms?iri=http://purl.obolibrary.org/obo/FBbt_00111380","FBbt:00111380")</f>
        <v/>
      </c>
      <c r="B201" t="inlineStr">
        <is>
          <t>PB slice 7-EB core-IDFP DSB neuron</t>
        </is>
      </c>
      <c r="C201" t="inlineStr">
        <is>
          <t>PBL7&gt;EBL6C;L7C-IDFPR-DSB</t>
        </is>
      </c>
      <c r="D201" t="inlineStr">
        <is>
          <t>Interneuron that has dendritic arbors in protocerebral bridge glomerulus 7 and axon terminals in the inner ring of the ipsilateral ellipsoid body slices 6 and 7, and in the contralateral dorsal gall (dorsal spindle body).</t>
        </is>
      </c>
      <c r="E201" t="inlineStr">
        <is>
          <t>Lin et al., 2013, Cell Rep. 3(5): 1739--1753 (flybase.org/reports/FBrf0221742); Ito et al., 2014, Neuron 81(4): 755--765 (flybase.org/reports/FBrf0224194); Wolff et al., 2015, J. Comp. Neurol. 523(7): 997--1037 (flybase.org/reports/FBrf0227801)</t>
        </is>
      </c>
      <c r="F201" t="inlineStr"/>
      <c r="G201" t="inlineStr"/>
      <c r="H201" t="inlineStr"/>
    </row>
    <row r="202">
      <c r="A202">
        <f>HYPERLINK("https://www.ebi.ac.uk/ols/ontologies/fbbt/terms?iri=http://purl.obolibrary.org/obo/FBbt_00050272","FBbt:00050272")</f>
        <v/>
      </c>
      <c r="B202" t="inlineStr">
        <is>
          <t>adult MBp1 lineage neuron</t>
        </is>
      </c>
      <c r="C202" t="inlineStr">
        <is>
          <t>adult MB lineage neuron; adult MB lineage neuron</t>
        </is>
      </c>
      <c r="D202" t="inlineStr">
        <is>
          <t>Any neuron (FBbt:00005106) that is part of some adult brain (FBbt:00003624) and that develops from some neuroblast MBp1 (FBbt:00050270).</t>
        </is>
      </c>
      <c r="E202" t="inlineStr">
        <is>
          <t>Yu et al., 2013, Curr. Biol. 23(8): 633--643 (flybase.org/reports/FBrf0221412); Ito et al., 2013, Curr. Biol. 23(8): 644--655 (flybase.org/reports/FBrf0221438)</t>
        </is>
      </c>
      <c r="F202" t="inlineStr"/>
      <c r="G202" t="inlineStr"/>
      <c r="H202" t="inlineStr"/>
    </row>
    <row r="203">
      <c r="A203">
        <f>HYPERLINK("https://www.ebi.ac.uk/ols/ontologies/fbbt/terms?iri=http://purl.obolibrary.org/obo/FBbt_00047712","FBbt:00047712")</f>
        <v/>
      </c>
      <c r="B203" t="inlineStr">
        <is>
          <t>medial antennal lobe tract projection neuron 2</t>
        </is>
      </c>
      <c r="C203" t="inlineStr">
        <is>
          <t>AL-mPN2</t>
        </is>
      </c>
      <c r="D203" t="inlineStr">
        <is>
          <t>Antennal lobe projection neuron of the adult that fasciculates with the medial antennal lobe tract (mALT). The mPN2 class is bilateral and arborizes in a single AL glomerulus in each hemisphere. They have cell bodies on the lateral side of the gnathal ganglion, from which the fiber extends into the gnathal ganglion and bifurcates below the esophagus, with one branch entering the AL and the other joining the contralateral pathway of the same neuron. One branch of the ipsilateral fiber innervates an AL glomerulus and the other continues to the mALT, sending branches to the mushroom body calyx and lateral horn. There are at least two neurons of this type.</t>
        </is>
      </c>
      <c r="E203" t="inlineStr">
        <is>
          <t>Tanaka et al., 2012, J. Comp. Neurol. 520(18): 4067--4130 (flybase.org/reports/FBrf0219809)</t>
        </is>
      </c>
      <c r="F203" t="inlineStr"/>
      <c r="G203" t="inlineStr"/>
      <c r="H203" t="inlineStr"/>
    </row>
    <row r="204">
      <c r="A204">
        <f>HYPERLINK("https://www.ebi.ac.uk/ols/ontologies/fbbt/terms?iri=http://purl.obolibrary.org/obo/FBbt_00047859","FBbt:00047859")</f>
        <v/>
      </c>
      <c r="B204" t="inlineStr">
        <is>
          <t>adult brain neuropil glial cell</t>
        </is>
      </c>
      <c r="C204" t="inlineStr">
        <is>
          <t>sNPG of brain; secondary neuropil glia of brain</t>
        </is>
      </c>
      <c r="D204" t="inlineStr">
        <is>
          <t>Glial cell that is part of the glial sheath surrounding the neuropil of the adult brain.</t>
        </is>
      </c>
      <c r="E204" t="inlineStr">
        <is>
          <t>Omoto et al., 2015, Dev. Biol. 404(2): 2--20 (flybase.org/reports/FBrf0229106)</t>
        </is>
      </c>
      <c r="F204" t="inlineStr"/>
      <c r="G204" t="inlineStr"/>
      <c r="H204" t="inlineStr"/>
    </row>
    <row r="205">
      <c r="A205">
        <f>HYPERLINK("https://www.ebi.ac.uk/ols/ontologies/fbbt/terms?iri=http://purl.obolibrary.org/obo/FBbt_00111439","FBbt:00111439")</f>
        <v/>
      </c>
      <c r="B205" t="inlineStr">
        <is>
          <t>PB slice 5-FB layer 2-IDFP HB-lateral neuron</t>
        </is>
      </c>
      <c r="C205" t="inlineStr">
        <is>
          <t>PBL5-FBL2e,L3e&gt;IDFPR-HB-lateral</t>
        </is>
      </c>
      <c r="D205" t="inlineStr">
        <is>
          <t>Small field neuron of the central complex with dendritic arbors in the protocerebral bridge slice 5, in the ipsilateral fan-shaped body layer 2 (layer e) from segment pairs Y and X (columns 2 and 3), and axon terminals in the contralateral lateral accessory lobe (lateral hammer body) and crepine.</t>
        </is>
      </c>
      <c r="E205" t="inlineStr">
        <is>
          <t>Lin et al., 2013, Cell Rep. 3(5): 1739--1753 (flybase.org/reports/FBrf0221742); Wolff et al., 2015, J. Comp. Neurol. 523(7): 997--1037 (flybase.org/reports/FBrf0227801)</t>
        </is>
      </c>
      <c r="F205" t="inlineStr"/>
      <c r="G205" t="inlineStr"/>
      <c r="H205" t="inlineStr"/>
    </row>
    <row r="206">
      <c r="A206">
        <f>HYPERLINK("https://www.ebi.ac.uk/ols/ontologies/fbbt/terms?iri=http://purl.obolibrary.org/obo/FBbt_00111385","FBbt:00111385")</f>
        <v/>
      </c>
      <c r="B206" t="inlineStr">
        <is>
          <t>CCP-VMP-PB 3 neuron</t>
        </is>
      </c>
      <c r="C206" t="inlineStr">
        <is>
          <t>CCPL-ventral-VMPL-dorsal&gt;PBR2,R3; CCPR-ventral-VMPR-dorsal&gt;PBR2,R3</t>
        </is>
      </c>
      <c r="D206" t="inlineStr">
        <is>
          <t>Interneuron that has dendritic arborizations in the antler and inferior bridge (caudalcentral protocerebrum, CCP), the dorsal region of the ventral complex and posterior slope (ventromedial protocerebrum, VMP) and axon terminals in the ipsilateral or contralateral protocerebral bridge slices 3 and 4.</t>
        </is>
      </c>
      <c r="E206" t="inlineStr">
        <is>
          <t>Lin et al., 2013, Cell Rep. 3(5): 1739--1753 (flybase.org/reports/FBrf0221742); Ito et al., 2014, Neuron 81(4): 755--765 (flybase.org/reports/FBrf0224194)</t>
        </is>
      </c>
      <c r="F206" t="inlineStr"/>
      <c r="G206" t="inlineStr"/>
      <c r="H206" t="inlineStr"/>
    </row>
    <row r="207">
      <c r="A207">
        <f>HYPERLINK("https://www.ebi.ac.uk/ols/ontologies/fbbt/terms?iri=http://purl.obolibrary.org/obo/FBbt_00100229","FBbt:00100229")</f>
        <v/>
      </c>
      <c r="B207" t="inlineStr">
        <is>
          <t>mushroom body medial lobe arborizing neuron 1</t>
        </is>
      </c>
      <c r="C207" t="inlineStr">
        <is>
          <t>MB-M1; MB-M1 neuron</t>
        </is>
      </c>
      <c r="D207" t="inlineStr">
        <is>
          <t>A neuron, whose cell body is located in front of the inferior neuropils, anterior to the middle part of the medial lobe of the adult brain. A neurite projects dorsolaterally and forms arborizations further in the inferior neuropils and within the superior neuropils. Some of these branches extend ventromedially and arborize in the medial-most segments of the gamma lobe and the beta-s and beta'-a strata. Some of the fibers further project to the contralateral medial lobes.</t>
        </is>
      </c>
      <c r="E207" t="inlineStr">
        <is>
          <t>Tanaka et al., 2008, J. Comp. Neurol. 508(5): 711--755 (flybase.org/reports/FBrf0205263)</t>
        </is>
      </c>
      <c r="F207" t="inlineStr"/>
      <c r="G207" t="inlineStr"/>
      <c r="H207" t="inlineStr"/>
    </row>
    <row r="208">
      <c r="A208">
        <f>HYPERLINK("https://www.ebi.ac.uk/ols/ontologies/fbbt/terms?iri=http://purl.obolibrary.org/obo/FBbt_00111384","FBbt:00111384")</f>
        <v/>
      </c>
      <c r="B208" t="inlineStr">
        <is>
          <t>CCP-VMP-PB 2 neuron</t>
        </is>
      </c>
      <c r="C208" t="inlineStr">
        <is>
          <t>CCPL-ventral-VMPL-dorsal&gt;PBL1,L2</t>
        </is>
      </c>
      <c r="D208" t="inlineStr">
        <is>
          <t>Interneuron that has dendritic arborizations in the antler and inferior bridge (caudalcentral protocerebrum, CCP), the dorsal region of the ventral complex and posterior slope (ventromedial protocerebrum, VMP) and axon terminals in the ipsilateral protocerebral bridge slices 2 and 3.</t>
        </is>
      </c>
      <c r="E208" t="inlineStr">
        <is>
          <t>Lin et al., 2013, Cell Rep. 3(5): 1739--1753 (flybase.org/reports/FBrf0221742); Ito et al., 2014, Neuron 81(4): 755--765 (flybase.org/reports/FBrf0224194)</t>
        </is>
      </c>
      <c r="F208" t="inlineStr"/>
      <c r="G208" t="inlineStr"/>
      <c r="H208" t="inlineStr"/>
    </row>
    <row r="209">
      <c r="A209">
        <f>HYPERLINK("https://www.ebi.ac.uk/ols/ontologies/fbbt/terms?iri=http://purl.obolibrary.org/obo/FBbt_00111383","FBbt:00111383")</f>
        <v/>
      </c>
      <c r="B209" t="inlineStr">
        <is>
          <t>CCP-VMP-PB neuron</t>
        </is>
      </c>
      <c r="C209" t="inlineStr">
        <is>
          <t>CVP neuron; PBG2-9.b-IB.s.SPS.s neuron; CRVRP; CLVLP</t>
        </is>
      </c>
      <c r="D209" t="inlineStr">
        <is>
          <t>Interneuron that has dendritic arborizations in the ventral regions of the antler and inferior bridge (caudalcentral protocerebrum, CCP), the dorsal region of the ventral complex and posterior slope (ventromedial protocerebrum, VMP) and axon terminals in one or more glomeruli of the protocerebral bridge, except for glomerulus 1, not necessarily adjacent.</t>
        </is>
      </c>
      <c r="E209" t="inlineStr">
        <is>
          <t>Lin et al., 2013, Cell Rep. 3(5): 1739--1753 (flybase.org/reports/FBrf0221742); Ito et al., 2014, Neuron 81(4): 755--765 (flybase.org/reports/FBrf0224194); Wolff et al., 2015, J. Comp. Neurol. 523(7): 997--1037 (flybase.org/reports/FBrf0227801)</t>
        </is>
      </c>
      <c r="F209" t="inlineStr"/>
      <c r="G209" t="inlineStr"/>
      <c r="H209" t="inlineStr"/>
    </row>
    <row r="210">
      <c r="A210">
        <f>HYPERLINK("https://www.ebi.ac.uk/ols/ontologies/fbbt/terms?iri=http://purl.obolibrary.org/obo/FBbt_00111382","FBbt:00111382")</f>
        <v/>
      </c>
      <c r="B210" t="inlineStr">
        <is>
          <t>CVLP-IDFP-VMP-PB neuron</t>
        </is>
      </c>
      <c r="C210" t="inlineStr">
        <is>
          <t>CIVP neuron; CLILVLP; PB.b-LAL.s-PS.s neuron</t>
        </is>
      </c>
      <c r="D210" t="inlineStr">
        <is>
          <t>Interneuron that has dendritic arborizations in the inferior region of the posterior lateral protocerebrum (caudal ventrolateral protocerebrum, CVLP), the lateral accessory lobe (lateral hammer body), the ventral complex and posterior slope (ventromedial protocerebrum, VMP) and axon terminals in the whole protocerebral bridge.</t>
        </is>
      </c>
      <c r="E210" t="inlineStr">
        <is>
          <t>Lin et al., 2013, Cell Rep. 3(5): 1739--1753 (flybase.org/reports/FBrf0221742); Ito et al., 2014, Neuron 81(4): 755--765 (flybase.org/reports/FBrf0224194)</t>
        </is>
      </c>
      <c r="F210" t="inlineStr"/>
      <c r="G210" t="inlineStr"/>
      <c r="H210" t="inlineStr"/>
    </row>
    <row r="211">
      <c r="A211">
        <f>HYPERLINK("https://www.ebi.ac.uk/ols/ontologies/fbbt/terms?iri=http://purl.obolibrary.org/obo/FBbt_00005780","FBbt:00005780")</f>
        <v/>
      </c>
      <c r="B211" t="inlineStr">
        <is>
          <t>mushroom body dorsal paired medial cell</t>
        </is>
      </c>
      <c r="C211" t="inlineStr">
        <is>
          <t>MB-DPM; dorsal paired medial cell; DPM</t>
        </is>
      </c>
      <c r="D211" t="inlineStr">
        <is>
          <t>A serotonergic mushroom body intrinsic neuron (Lee et al., 2011) whose large cell body (~12um) is part of a bilateral pair of neurons located on the posterior ventral superior medial protocerebrum and antler region of the brain. A single neurite extends towards the ipsilateral mushroom body and bifurcates in the superior neuropils. One branch arborizes extensively within the mushroom body alpha and alpha' lobes, whilst the other branch arborizes extensively within the mushroom body beta, beta' and gamma lobe complexes. The cell processes also form a network of fibers and terminations in the mushroom body spur and anterior region of the pedunculus. There are no detectable projections to any other brain neuropil region (Waddell et al., 2000). Pre-synaptic terminals are found throughout the mushroom body lobes, being more pronounced in the alpha and beta lobes (Pitman et al., 2011). This neuron is electrically connected to the mushroom body anterior paired lateral cell (Wu et al., 2011).</t>
        </is>
      </c>
      <c r="E211" t="inlineStr">
        <is>
          <t>Waddell et al., 2000, Cell 103(5): 805--813 (flybase.org/reports/FBrf0132261); Tanaka et al., 2008, J. Comp. Neurol. 508(5): 711--755 (flybase.org/reports/FBrf0205263); Pitman et al., 2011, Curr. Biol. 21(10): 855--861 (flybase.org/reports/FBrf0213725); Wu et al., 2011, Curr. Biol. 21(10): 848--854 (flybase.org/reports/FBrf0213804); Lee et al., 2011, Proc. Natl. Acad. Sci. U.S.A. 108(33): 13794--13799 (flybase.org/reports/FBrf0214737)</t>
        </is>
      </c>
      <c r="F211" t="inlineStr"/>
      <c r="G211" t="inlineStr"/>
      <c r="H211" t="inlineStr"/>
    </row>
    <row r="212">
      <c r="A212">
        <f>HYPERLINK("https://www.ebi.ac.uk/ols/ontologies/fbbt/terms?iri=http://purl.obolibrary.org/obo/FBbt_00100228","FBbt:00100228")</f>
        <v/>
      </c>
      <c r="B212" t="inlineStr">
        <is>
          <t>mushroom body calyx arborizing neuron 2</t>
        </is>
      </c>
      <c r="C212" t="inlineStr">
        <is>
          <t>SIFamide; MB-C2</t>
        </is>
      </c>
      <c r="D212" t="inlineStr">
        <is>
          <t>A neuron whose cell body is located on the posterior superior medial protocerebrum of the adult brain, close to the pars intercerebralis. There are 3 of these per hemisphere. Their cell bodies form a cluster. The cell body fiber runs ventrally and bifurcates near the protocerebral bridge to form a laterodorsal and a lateroventral projection. The dorsal projection arborizes in the superior and inferior neuropils, with some branches entering the accessory calyx of the mushroom body. Some of these fibers connect the accessory calyx and the ventral peripheral zone of the main calyx. The ventral projection forms extensive arborization in the superior and inferior neuropils, and further projects to the posteriorlateral protocerebrum.</t>
        </is>
      </c>
      <c r="E212" t="inlineStr">
        <is>
          <t>Tanaka et al., 2008, J. Comp. Neurol. 508(5): 711--755 (flybase.org/reports/FBrf0205263)</t>
        </is>
      </c>
      <c r="F212" t="inlineStr"/>
      <c r="G212" t="inlineStr"/>
      <c r="H212" t="inlineStr"/>
    </row>
    <row r="213">
      <c r="A213">
        <f>HYPERLINK("https://www.ebi.ac.uk/ols/ontologies/fbbt/terms?iri=http://purl.obolibrary.org/obo/FBbt_00111381","FBbt:00111381")</f>
        <v/>
      </c>
      <c r="B213" t="inlineStr">
        <is>
          <t>PB slice 8-EB core-IDFP DSB neuron</t>
        </is>
      </c>
      <c r="C213" t="inlineStr">
        <is>
          <t>PBL8&gt;EBL8C;R8C-IDFPR-DSB</t>
        </is>
      </c>
      <c r="D213" t="inlineStr">
        <is>
          <t>Interneuron that has dendritic arbors in protocerebral bridge glomerulus 8 and axon terminals in the inner ring of both ellipsoid body slices 8, and in the contralateral ventral gall (ventral spindle body).</t>
        </is>
      </c>
      <c r="E213" t="inlineStr">
        <is>
          <t>Lin et al., 2013, Cell Rep. 3(5): 1739--1753 (flybase.org/reports/FBrf0221742); Ito et al., 2014, Neuron 81(4): 755--765 (flybase.org/reports/FBrf0224194); Wolff et al., 2015, J. Comp. Neurol. 523(7): 997--1037 (flybase.org/reports/FBrf0227801)</t>
        </is>
      </c>
      <c r="F213" t="inlineStr"/>
      <c r="G213" t="inlineStr"/>
      <c r="H213" t="inlineStr"/>
    </row>
    <row r="214">
      <c r="A214">
        <f>HYPERLINK("https://www.ebi.ac.uk/ols/ontologies/fbbt/terms?iri=http://purl.obolibrary.org/obo/FBbt_00111434","FBbt:00111434")</f>
        <v/>
      </c>
      <c r="B214" t="inlineStr">
        <is>
          <t>PB slice 1-FB layer 2-IDFP HB-lateral ipsilateral neuron</t>
        </is>
      </c>
      <c r="C214" t="inlineStr">
        <is>
          <t>PBL1-FBL3e,L4e&gt;IDFPL-HB-lateral</t>
        </is>
      </c>
      <c r="D214" t="inlineStr">
        <is>
          <t>Small field neuron of the central complex with dendritic arbors in the protocerebral bridge slice 1, the ipsilateral fan-shaped body layer 2 (layer e) from segment pairs X and W (columns 3 and 4), and axon terminals in the ipsilateral lateral accessory lobe (lateral hammer body) and crepine.</t>
        </is>
      </c>
      <c r="E214" t="inlineStr">
        <is>
          <t>Lin et al., 2013, Cell Rep. 3(5): 1739--1753 (flybase.org/reports/FBrf0221742); Wolff et al., 2015, J. Comp. Neurol. 523(7): 997--1037 (flybase.org/reports/FBrf0227801)</t>
        </is>
      </c>
      <c r="F214" t="inlineStr"/>
      <c r="G214" t="inlineStr"/>
      <c r="H214" t="inlineStr"/>
    </row>
    <row r="215">
      <c r="A215">
        <f>HYPERLINK("https://www.ebi.ac.uk/ols/ontologies/fbbt/terms?iri=http://purl.obolibrary.org/obo/FBbt_00050138","FBbt:00050138")</f>
        <v/>
      </c>
      <c r="B215" t="inlineStr">
        <is>
          <t>adult EBa1 lineage neuron</t>
        </is>
      </c>
      <c r="C215" t="inlineStr">
        <is>
          <t>adult DALv2 lineage neuron; adult EB lineage neuron</t>
        </is>
      </c>
      <c r="D215" t="inlineStr">
        <is>
          <t>Any neuron (FBbt:00005106) that is part of some adult brain (FBbt:00003624) and that develops from some neuroblast EBa1 (FBbt:00050136).</t>
        </is>
      </c>
      <c r="E215" t="inlineStr">
        <is>
          <t>Yu et al., 2013, Curr. Biol. 23(8): 633--643 (flybase.org/reports/FBrf0221412); Ito et al., 2013, Curr. Biol. 23(8): 644--655 (flybase.org/reports/FBrf0221438)</t>
        </is>
      </c>
      <c r="F215" t="inlineStr"/>
      <c r="G215" t="inlineStr"/>
      <c r="H215" t="inlineStr"/>
    </row>
    <row r="216">
      <c r="A216">
        <f>HYPERLINK("https://www.ebi.ac.uk/ols/ontologies/fbbt/terms?iri=http://purl.obolibrary.org/obo/FBbt_00111433","FBbt:00111433")</f>
        <v/>
      </c>
      <c r="B216" t="inlineStr">
        <is>
          <t>PB 1 glomerulus-FB layer 2-IDFP HB-lateral neuron</t>
        </is>
      </c>
      <c r="C216" t="inlineStr">
        <is>
          <t>PB1-glomerulus-FBe&gt;IDFPL-HB-lateral; PB1-glomerulus-FBe-&gt;IDFPHB-lateral; PBG1-7.s-FBl2.s.LAL.b-cre.b; PB1-glomerulus-FBe&gt;IDFPR-HB-lateral; PB1-glomerulus-FBe&gt;IDFPHB-lateral</t>
        </is>
      </c>
      <c r="D216" t="inlineStr">
        <is>
          <t>Small field neuron of the central complex with dendritic arbors in one protocerebral bridge slice (except for slices 8 and 9) and in two segment pairs of the contra- or ipsilateral fan-shaped body layer 2 (layer e), and axon terminals in the ipsi- or contralateral lateral accessory lobe (lateral hammer body) and crepine.</t>
        </is>
      </c>
      <c r="E216" t="inlineStr">
        <is>
          <t>Lin et al., 2013, Cell Rep. 3(5): 1739--1753 (flybase.org/reports/FBrf0221742); Wolff et al., 2015, J. Comp. Neurol. 523(7): 997--1037 (flybase.org/reports/FBrf0227801)</t>
        </is>
      </c>
      <c r="F216" t="inlineStr"/>
      <c r="G216" t="inlineStr"/>
      <c r="H216" t="inlineStr"/>
    </row>
    <row r="217">
      <c r="A217">
        <f>HYPERLINK("https://www.ebi.ac.uk/ols/ontologies/fbbt/terms?iri=http://purl.obolibrary.org/obo/FBbt_00100226","FBbt:00100226")</f>
        <v/>
      </c>
      <c r="B217" t="inlineStr">
        <is>
          <t>mushroom body calyx arborizing neuron 1</t>
        </is>
      </c>
      <c r="C217" t="inlineStr">
        <is>
          <t>MB-C1</t>
        </is>
      </c>
      <c r="D217" t="inlineStr">
        <is>
          <t>GABAergic neuron whose cell body is located at the posterior area of the lateral cell body region between the posteriolateral protocerebrum and the optic lobe of the adult brain. It projects dorsally towards the lateral horn before branching and extensively arborizing in the ventral part of the lateral horn, then turning medially and terminating in the calyx. There is more than two of these per hemisphere.</t>
        </is>
      </c>
      <c r="E217" t="inlineStr">
        <is>
          <t>Tanaka et al., 2008, J. Comp. Neurol. 508(5): 711--755 (flybase.org/reports/FBrf0205263); Aso et al., 2014, eLife 3: e04577 (flybase.org/reports/FBrf0227179)</t>
        </is>
      </c>
      <c r="F217" t="inlineStr"/>
      <c r="G217" t="inlineStr"/>
      <c r="H217" t="inlineStr"/>
    </row>
    <row r="218">
      <c r="A218">
        <f>HYPERLINK("https://www.ebi.ac.uk/ols/ontologies/fbbt/terms?iri=http://purl.obolibrary.org/obo/FBbt_00111432","FBbt:00111432")</f>
        <v/>
      </c>
      <c r="B218" t="inlineStr">
        <is>
          <t>PB 2 glomeruli-FB layer 2-IDFP HB-lateral neuron</t>
        </is>
      </c>
      <c r="C218" t="inlineStr">
        <is>
          <t>PBR1,L1-FBL3e,L4e&gt;IDFPL-HB-lateral; PB2-glomeruli-FBe&gt;IDFPR-HB-lateral; PBR1,L1-FBR3e,R4e&gt;IDFPR-HB-lateral; PB2-glomeruli-FBe&gt;IDFPL-HB-lateral</t>
        </is>
      </c>
      <c r="D218" t="inlineStr">
        <is>
          <t>Small field neuron of the central complex with dendritic arbors in both protocerebral bridge slices 2 and ipsi- or contralateral fan-shaped body layer 2 (layer e) and segment pairs X and W (columns 3 and 4), and axon terminals in the contralateral lateral accessory lobe (lateral hammer body).</t>
        </is>
      </c>
      <c r="E218" t="inlineStr">
        <is>
          <t>Lin et al., 2013, Cell Rep. 3(5): 1739--1753 (flybase.org/reports/FBrf0221742)</t>
        </is>
      </c>
      <c r="F218" t="inlineStr"/>
      <c r="G218" t="inlineStr"/>
      <c r="H218" t="inlineStr"/>
    </row>
    <row r="219">
      <c r="A219">
        <f>HYPERLINK("https://www.ebi.ac.uk/ols/ontologies/fbbt/terms?iri=http://purl.obolibrary.org/obo/FBbt_00100223","FBbt:00100223")</f>
        <v/>
      </c>
      <c r="B219" t="inlineStr">
        <is>
          <t>mushroom body anterior inferior medial cell</t>
        </is>
      </c>
      <c r="C219" t="inlineStr">
        <is>
          <t>MB-AIM; MB-AMP</t>
        </is>
      </c>
      <c r="D219" t="inlineStr">
        <is>
          <t>A neuron, whose cell body is located in front of the anterior inferior medial protocerebrum of the adult brain, anterior to the vertical and medial mushroom body lobes. The cell body fiber enters the medial lobe through the gap between the gamma and beta' lobes. Within the gamma lobe, neurite projection is limited to the middle segment between the tip and the base of the lobe, named as gamma4. In the beta', neurites arborize in the lateral part of the beta'a stratum (beta'a1) and the medial segment of beta'm and beta'p strata (beta'm2 and beta'p2). At the medial edge of the beta'm and beta'p strata, some of the fibers project to the contralateral lobe. There is only neuron of this type per hemisphere.</t>
        </is>
      </c>
      <c r="E219" t="inlineStr">
        <is>
          <t>Tanaka et al., 2008, J. Comp. Neurol. 508(5): 711--755 (flybase.org/reports/FBrf0205263); Aso et al., 2014, eLife 3: e04577 (flybase.org/reports/FBrf0227179)</t>
        </is>
      </c>
      <c r="F219" t="inlineStr"/>
      <c r="G219" t="inlineStr"/>
      <c r="H219" t="inlineStr"/>
    </row>
    <row r="220">
      <c r="A220">
        <f>HYPERLINK("https://www.ebi.ac.uk/ols/ontologies/fbbt/terms?iri=http://purl.obolibrary.org/obo/FBbt_00050135","FBbt:00050135")</f>
        <v/>
      </c>
      <c r="B220" t="inlineStr">
        <is>
          <t>adult VLPa2 lineage neuron</t>
        </is>
      </c>
      <c r="C220" t="inlineStr">
        <is>
          <t>None</t>
        </is>
      </c>
      <c r="D220" t="inlineStr">
        <is>
          <t>Any neuron (FBbt:00005106) that is part of some adult brain (FBbt:00003624) and that develops from some neuroblast VLPa2 (FBbt:00050133).</t>
        </is>
      </c>
      <c r="E220" t="inlineStr">
        <is>
          <t>Yu et al., 2013, Curr. Biol. 23(8): 633--643 (flybase.org/reports/FBrf0221412); Ito et al., 2013, Curr. Biol. 23(8): 644--655 (flybase.org/reports/FBrf0221438)</t>
        </is>
      </c>
      <c r="F220" t="inlineStr"/>
      <c r="G220" t="inlineStr"/>
      <c r="H220" t="inlineStr"/>
    </row>
    <row r="221">
      <c r="A221">
        <f>HYPERLINK("https://www.ebi.ac.uk/ols/ontologies/fbbt/terms?iri=http://purl.obolibrary.org/obo/FBbt_00100369","FBbt:00100369")</f>
        <v/>
      </c>
      <c r="B221" t="inlineStr">
        <is>
          <t>adult multiglomerular antennal lobe projection neuron adPN</t>
        </is>
      </c>
      <c r="C221" t="inlineStr">
        <is>
          <t>None</t>
        </is>
      </c>
      <c r="D221" t="inlineStr">
        <is>
          <t>An adult multiglomerular antennal lobe projection neuron that is derived from the neuroblast ALad1 (FBbt:00067346). All of these neurons have axons that fasciculate with the medial antennal lobe tract (mALT) and innervate the lateral horn.</t>
        </is>
      </c>
      <c r="E221" t="inlineStr">
        <is>
          <t>Yu et al., 2010, PLoS Biol. 8(8): (flybase.org/reports/FBrf0211729)</t>
        </is>
      </c>
      <c r="F221" t="inlineStr"/>
      <c r="G221" t="inlineStr"/>
      <c r="H221" t="inlineStr"/>
    </row>
    <row r="222">
      <c r="A222">
        <f>HYPERLINK("https://www.ebi.ac.uk/ols/ontologies/fbbt/terms?iri=http://purl.obolibrary.org/obo/FBbt_00111431","FBbt:00111431")</f>
        <v/>
      </c>
      <c r="B222" t="inlineStr">
        <is>
          <t>PB slice 7-FB layers 3-5-IDFP RB neuron</t>
        </is>
      </c>
      <c r="C222" t="inlineStr">
        <is>
          <t>PBR7-FBR4c,d&gt;IDFPL-RB</t>
        </is>
      </c>
      <c r="D222" t="inlineStr">
        <is>
          <t>Small field neuron of the central complex with dendritic arbors in protocerebral bridge slice 7, ipsilateral fan-shaped body layers 3, 4 and 5 (layers b, c, d) and segment pair W (column 4), and axon terminals in the contralateral rubus (round body of IDFP).</t>
        </is>
      </c>
      <c r="E222" t="inlineStr">
        <is>
          <t>Lin et al., 2013, Cell Rep. 3(5): 1739--1753 (flybase.org/reports/FBrf0221742); Wolff et al., 2015, J. Comp. Neurol. 523(7): 997--1037 (flybase.org/reports/FBrf0227801)</t>
        </is>
      </c>
      <c r="F222" t="inlineStr"/>
      <c r="G222" t="inlineStr"/>
      <c r="H222" t="inlineStr"/>
    </row>
    <row r="223">
      <c r="A223">
        <f>HYPERLINK("https://www.ebi.ac.uk/ols/ontologies/fbbt/terms?iri=http://purl.obolibrary.org/obo/FBbt_00111438","FBbt:00111438")</f>
        <v/>
      </c>
      <c r="B223" t="inlineStr">
        <is>
          <t>PB slice 4-FB layer 2-IDFP HB-lateral neuron</t>
        </is>
      </c>
      <c r="C223" t="inlineStr">
        <is>
          <t>PBL4-FBL1e,L2e&gt;IDFPR-HB-lateral</t>
        </is>
      </c>
      <c r="D223" t="inlineStr">
        <is>
          <t>Small field neuron of the central complex with dendritic arbors in the protocerebral bridge slice 4, in the ipsilateral fan-shaped body layer 2 (layer e) from segment pairs Z and Y (columns 1 and 2), and axon terminals in the contralateral lateral accessory lobe (lateral hammer body) and crepine.</t>
        </is>
      </c>
      <c r="E223" t="inlineStr">
        <is>
          <t>Lin et al., 2013, Cell Rep. 3(5): 1739--1753 (flybase.org/reports/FBrf0221742); Wolff et al., 2015, J. Comp. Neurol. 523(7): 997--1037 (flybase.org/reports/FBrf0227801)</t>
        </is>
      </c>
      <c r="F223" t="inlineStr"/>
      <c r="G223" t="inlineStr"/>
      <c r="H223" t="inlineStr"/>
    </row>
    <row r="224">
      <c r="A224">
        <f>HYPERLINK("https://www.ebi.ac.uk/ols/ontologies/fbbt/terms?iri=http://purl.obolibrary.org/obo/FBbt_00100367","FBbt:00100367")</f>
        <v/>
      </c>
      <c r="B224" t="inlineStr">
        <is>
          <t>adult antennal lobe projection neuron DA4l adPN</t>
        </is>
      </c>
      <c r="C224" t="inlineStr">
        <is>
          <t>DA4l adPN</t>
        </is>
      </c>
      <c r="D224" t="inlineStr">
        <is>
          <t>Antennal lobe projection neuron from the ad neuroblast lineage whose dendrites innervate only antennal lobe glomerulus DA4l. This neuron is born from the fifth division of the neuroblast ALad1 (FBbt:00067346) during embryogenesis (Yu et al., 2010).</t>
        </is>
      </c>
      <c r="E224" t="inlineStr">
        <is>
          <t>Yu et al., 2010, PLoS Biol. 8(8): (flybase.org/reports/FBrf0211729)</t>
        </is>
      </c>
      <c r="F224" t="inlineStr"/>
      <c r="G224" t="inlineStr"/>
      <c r="H224" t="inlineStr"/>
    </row>
    <row r="225">
      <c r="A225">
        <f>HYPERLINK("https://www.ebi.ac.uk/ols/ontologies/fbbt/terms?iri=http://purl.obolibrary.org/obo/FBbt_00100221","FBbt:00100221")</f>
        <v/>
      </c>
      <c r="B225" t="inlineStr">
        <is>
          <t>dopaminergic PPL2c neuron</t>
        </is>
      </c>
      <c r="C225" t="inlineStr">
        <is>
          <t>PPL2c cluster neuron; protocerebral posterior lateral dopaminergic cluster neuron 2c; TH-positive posteriolateral dopaminergic cluster neuron 2c; PPL2c; protocerebral posteriolateral dopaminergic cluster neuron 2c</t>
        </is>
      </c>
      <c r="D225" t="inlineStr">
        <is>
          <t>A dopaminergic neuron whose cell body is located in a cluster of approximately 2 cell bodies in the cortex of the posterior lateral protocerebrum of the adult brain.</t>
        </is>
      </c>
      <c r="E225" t="inlineStr">
        <is>
          <t>Mao and Davis, 2009, Front. Neural Circuits 3: 5 (flybase.org/reports/FBrf0208427); Blanco et al., 2011, Neural Dev. 6: 34 (flybase.org/reports/FBrf0216686)</t>
        </is>
      </c>
      <c r="F225" t="inlineStr"/>
      <c r="G225" t="inlineStr"/>
      <c r="H225" t="inlineStr"/>
    </row>
    <row r="226">
      <c r="A226">
        <f>HYPERLINK("https://www.ebi.ac.uk/ols/ontologies/fbbt/terms?iri=http://purl.obolibrary.org/obo/FBbt_00100222","FBbt:00100222")</f>
        <v/>
      </c>
      <c r="B226" t="inlineStr">
        <is>
          <t>adult mushroom body anterior paired lateral cell</t>
        </is>
      </c>
      <c r="C226" t="inlineStr">
        <is>
          <t>MB-APL; adult APL</t>
        </is>
      </c>
      <c r="D226" t="inlineStr">
        <is>
          <t>A single, bilaterally paired mushroom body intrinsic neuron. Its large (~10um) cell body is located on the dorsal margin of the ventrolateral protocerebrum, in the lateral cell body region, between the anterior lateral superior clamp and the optic lobe. A single fiber projects dorsomedially towards the mushroom body and bifurcates into two branches (Tanaka et al., 2008). One merges with the mediolateral antennal lobe tract at the lateral side of the calyx before entering and extensively arborizing over the calyx. The other branch enters the mushroom body in the medial region of the vertical lobes. Arborizations are found in the pedunculus, in the vertical and medial lobes of the mushroom body (Liu and Davis, 2009) and in the accessory calyx (Tanaka et al., 2008). This neuron is GABA-ergic (Liu and Davis, 2009), with pre-synaptic terminals found throughout the mushroom body lobes, being more pronounced in the alpha' and beta' lobes (Pitman et al., 2011). This neuron is electrically connected to the mushroom body dorsal paired medial cell (Wu et al., 2011). These neurons respond to odors and are involved in olfactory learning (Liu and Davis, 2009).</t>
        </is>
      </c>
      <c r="E226" t="inlineStr">
        <is>
          <t>Tanaka et al., 2008, J. Comp. Neurol. 508(5): 711--755 (flybase.org/reports/FBrf0205263); Liu and Davis, 2009, Nat. Neurosci. 12(1): 53--59 (flybase.org/reports/FBrf0207183); Wu et al., 2011, Curr. Biol. 21(10): 848--854 (flybase.org/reports/FBrf0213804); Cassenaer et al., 2011, Science 332(6030): 721--725 (flybase.org/reports/FBrf0239682)</t>
        </is>
      </c>
      <c r="F226" t="inlineStr"/>
      <c r="G226" t="inlineStr"/>
      <c r="H226" t="inlineStr"/>
    </row>
    <row r="227">
      <c r="A227">
        <f>HYPERLINK("https://www.ebi.ac.uk/ols/ontologies/fbbt/terms?iri=http://purl.obolibrary.org/obo/FBbt_00111437","FBbt:00111437")</f>
        <v/>
      </c>
      <c r="B227" t="inlineStr">
        <is>
          <t>PB slice 3-FB layer 2-IDFP HB-lateral neuron</t>
        </is>
      </c>
      <c r="C227" t="inlineStr">
        <is>
          <t>PBL3-FBR1e,L1e&gt;IDFPR-HB-lateral; PBR3-FBR1e,L1e&gt;IDFPL-HB-lateral</t>
        </is>
      </c>
      <c r="D227" t="inlineStr">
        <is>
          <t>Small field neuron of the central complex with dendritic arbors in the protocerebral bridge slice 3, in the fan-shaped body layer 2 (layer e) from both segment pairs Z (columns 1), and axon terminals in the contralateral lateral accessory lobe (lateral hammer body) and crepine.</t>
        </is>
      </c>
      <c r="E227" t="inlineStr">
        <is>
          <t>Lin et al., 2013, Cell Rep. 3(5): 1739--1753 (flybase.org/reports/FBrf0221742); Wolff et al., 2015, J. Comp. Neurol. 523(7): 997--1037 (flybase.org/reports/FBrf0227801)</t>
        </is>
      </c>
      <c r="F227" t="inlineStr"/>
      <c r="G227" t="inlineStr"/>
      <c r="H227" t="inlineStr"/>
    </row>
    <row r="228">
      <c r="A228">
        <f>HYPERLINK("https://www.ebi.ac.uk/ols/ontologies/fbbt/terms?iri=http://purl.obolibrary.org/obo/FBbt_00100368","FBbt:00100368")</f>
        <v/>
      </c>
      <c r="B228" t="inlineStr">
        <is>
          <t>adult uniglomerular antennal lobe projection neuron adPN</t>
        </is>
      </c>
      <c r="C228" t="inlineStr">
        <is>
          <t>adult uniglomerular adPN; adult uniglomerular anterodorsal antennal lobe projection neuron</t>
        </is>
      </c>
      <c r="D228" t="inlineStr">
        <is>
          <t>An adult uniglomerular antennal lobe projection neuron that is derived from the neuroblast ALad1 (FBbt:00067346). All of these neurons have axons that fasciculate with the medial antennal lobe tract (mALT) and except for V adPN neurons, innervate the mushroom body calyx (via a collateral) and the lateral horn.</t>
        </is>
      </c>
      <c r="E228" t="inlineStr">
        <is>
          <t>Jefferis et al., 2001, Nature 414(6860): 204--208 (flybase.org/reports/FBrf0141667); Marin et al., 2002, Cell 109(2): 243--255 (flybase.org/reports/FBrf0146917); Lai et al., 2008, Development 135(17): 2883--2893 (flybase.org/reports/FBrf0205814); Yu et al., 2010, PLoS Biol. 8(8): (flybase.org/reports/FBrf0211729); Lin et al., 2013, Science 340(6138): 1338--1341 (flybase.org/reports/FBrf0221835)</t>
        </is>
      </c>
      <c r="F228" t="inlineStr"/>
      <c r="G228" t="inlineStr"/>
      <c r="H228" t="inlineStr"/>
    </row>
    <row r="229">
      <c r="A229">
        <f>HYPERLINK("https://www.ebi.ac.uk/ols/ontologies/fbbt/terms?iri=http://purl.obolibrary.org/obo/FBbt_00111436","FBbt:00111436")</f>
        <v/>
      </c>
      <c r="B229" t="inlineStr">
        <is>
          <t>PB slice 2-FB layer 2-IDFP HB-lateral neuron</t>
        </is>
      </c>
      <c r="C229" t="inlineStr">
        <is>
          <t>PBL2-FBR1e,R2e&gt;IDFPR-HB-lateral; PBR2-FBL1e,L2e&gt;IDFPL-HB-lateral</t>
        </is>
      </c>
      <c r="D229" t="inlineStr">
        <is>
          <t>Small field neuron of the central complex with dendritic arbors in the protocerebral bridge slice 2, the contralateral fan-shaped body layer 2 (layer e) from segment pairs Z and Y (columns 1 and 2), and axon terminals in the contralateral lateral accessory lobe (lateral hammer body) and crepine.</t>
        </is>
      </c>
      <c r="E229" t="inlineStr">
        <is>
          <t>Lin et al., 2013, Cell Rep. 3(5): 1739--1753 (flybase.org/reports/FBrf0221742); Wolff et al., 2015, J. Comp. Neurol. 523(7): 997--1037 (flybase.org/reports/FBrf0227801)</t>
        </is>
      </c>
      <c r="F229" t="inlineStr"/>
      <c r="G229" t="inlineStr"/>
      <c r="H229" t="inlineStr"/>
    </row>
    <row r="230">
      <c r="A230">
        <f>HYPERLINK("https://www.ebi.ac.uk/ols/ontologies/fbbt/terms?iri=http://purl.obolibrary.org/obo/FBbt_00111435","FBbt:00111435")</f>
        <v/>
      </c>
      <c r="B230" t="inlineStr">
        <is>
          <t>PB slice 1-FB layer 2-IDFP HB-lateral neuron</t>
        </is>
      </c>
      <c r="C230" t="inlineStr">
        <is>
          <t>PBL1-FBR2e,R3e&gt;IDFPR-HB-lateral; PBR1-FBL2e,L3e&gt;IDFPL-HB-lateral</t>
        </is>
      </c>
      <c r="D230" t="inlineStr">
        <is>
          <t>Small field neuron of the central complex with dendritic arbors in the protocerebral bridge slice 1, the contralateral fan-shaped body layer 2 (layer e) from segment pairs Y and X (columns 2 and 3), and axon terminals in the contralateral lateral accessory lobe (lateral hammer body) and crepine.</t>
        </is>
      </c>
      <c r="E230" t="inlineStr">
        <is>
          <t>Lin et al., 2013, Cell Rep. 3(5): 1739--1753 (flybase.org/reports/FBrf0221742); Wolff et al., 2015, J. Comp. Neurol. 523(7): 997--1037 (flybase.org/reports/FBrf0227801)</t>
        </is>
      </c>
      <c r="F230" t="inlineStr"/>
      <c r="G230" t="inlineStr"/>
      <c r="H230" t="inlineStr"/>
    </row>
    <row r="231">
      <c r="A231">
        <f>HYPERLINK("https://www.ebi.ac.uk/ols/ontologies/fbbt/terms?iri=http://purl.obolibrary.org/obo/FBbt_00050132","FBbt:00050132")</f>
        <v/>
      </c>
      <c r="B231" t="inlineStr">
        <is>
          <t>adult VLPp&amp;l1 lineage neuron</t>
        </is>
      </c>
      <c r="C231" t="inlineStr">
        <is>
          <t>adult VLPp_l1 lineage neuron</t>
        </is>
      </c>
      <c r="D231" t="inlineStr">
        <is>
          <t>Any neuron (FBbt:00005106) that is part of some adult brain (FBbt:00003624) and that develops from some neuroblast VLPp&amp;l1 (FBbt:00050130).</t>
        </is>
      </c>
      <c r="E231" t="inlineStr">
        <is>
          <t>Yu et al., 2013, Curr. Biol. 23(8): 633--643 (flybase.org/reports/FBrf0221412); Ito et al., 2013, Curr. Biol. 23(8): 644--655 (flybase.org/reports/FBrf0221438)</t>
        </is>
      </c>
      <c r="F231" t="inlineStr"/>
      <c r="G231" t="inlineStr"/>
      <c r="H231" t="inlineStr"/>
    </row>
    <row r="232">
      <c r="A232">
        <f>HYPERLINK("https://www.ebi.ac.uk/ols/ontologies/fbbt/terms?iri=http://purl.obolibrary.org/obo/FBbt_00050278","FBbt:00050278")</f>
        <v/>
      </c>
      <c r="B232" t="inlineStr">
        <is>
          <t>adult SIPa1 lineage neuron</t>
        </is>
      </c>
      <c r="C232" t="inlineStr">
        <is>
          <t>None</t>
        </is>
      </c>
      <c r="D232" t="inlineStr">
        <is>
          <t>Any neuron (FBbt:00005106) that is part of some adult brain (FBbt:00003624) and that develops from some neuroblast SIPa1 (FBbt:00050276).</t>
        </is>
      </c>
      <c r="E232" t="inlineStr">
        <is>
          <t>Yu et al., 2013, Curr. Biol. 23(8): 633--643 (flybase.org/reports/FBrf0221412); Ito et al., 2013, Curr. Biol. 23(8): 644--655 (flybase.org/reports/FBrf0221438)</t>
        </is>
      </c>
      <c r="F232" t="inlineStr"/>
      <c r="G232" t="inlineStr"/>
      <c r="H232" t="inlineStr"/>
    </row>
    <row r="233">
      <c r="A233">
        <f>HYPERLINK("https://www.ebi.ac.uk/ols/ontologies/fbbt/terms?iri=http://purl.obolibrary.org/obo/FBbt_00100220","FBbt:00100220")</f>
        <v/>
      </c>
      <c r="B233" t="inlineStr">
        <is>
          <t>dopaminergic PPL2ab neuron</t>
        </is>
      </c>
      <c r="C233" t="inlineStr">
        <is>
          <t>protocerebral posteriolateral dopaminergic cluster neuron 2ab; PPL2ab cluster neuron; PPL neuron; PPL2ab; protocerebral posterior lateral dopaminergic cluster neuron 2ab; TH-positive posteriolateral dopaminergic cluster neuron 2ab</t>
        </is>
      </c>
      <c r="D233" t="inlineStr">
        <is>
          <t>A dopaminergic neuron whose cell body is located in a cluster of approximately 6 cell bodies in the cortex of the posterior inferior lateral protocerebrum of the adult brain. Members of this group send processes to various parts of the brain: one group send processes to the calyx, the inferior portion of the lateral horn and broad areas in the middle superior medial protocerebrum; another group sends processes to the calyx, the entire lateral horn and broad areas of the middle superior protocerebrum; another subgroup innervates the lobula and broad protocerebral areas; and a final group innervates the posterior lateral protocerebrum.</t>
        </is>
      </c>
      <c r="E233" t="inlineStr">
        <is>
          <t>Nassel and Elekes, 1992, Cell Tissue Res. 267(1): 147--167 (flybase.org/reports/FBrf0055596); Mao and Davis, 2009, Front. Neural Circuits 3: 5 (flybase.org/reports/FBrf0208427); Blanco et al., 2011, Neural Dev. 6: 34 (flybase.org/reports/FBrf0216686)</t>
        </is>
      </c>
      <c r="F233" t="inlineStr"/>
      <c r="G233" t="inlineStr"/>
      <c r="H233" t="inlineStr"/>
    </row>
    <row r="234">
      <c r="A234">
        <f>HYPERLINK("https://www.ebi.ac.uk/ols/ontologies/fbbt/terms?iri=http://purl.obolibrary.org/obo/FBbt_00111465","FBbt:00111465")</f>
        <v/>
      </c>
      <c r="B234" t="inlineStr">
        <is>
          <t>antennal mechanosensory and motor center local AMMC Bi1 neuron</t>
        </is>
      </c>
      <c r="C234" t="inlineStr">
        <is>
          <t>AMMC-Bi1</t>
        </is>
      </c>
      <c r="D234" t="inlineStr">
        <is>
          <t>Ipsilateral neuron whose cell body is located in the cell body rind of the anteromedial region of the antennal mechanosensory and motor center (AMMC). The primary neurite extends posterioventrally to form predominantly postsynaptic sites in the ipsilateral AMMC zone B and presynaptic terminals in the ipsilateral zone C.</t>
        </is>
      </c>
      <c r="E234" t="inlineStr">
        <is>
          <t>Matsuo et al., 2016, J. Comp. Neurol. 524(6): 1099--1164 (flybase.org/reports/FBrf0230862)</t>
        </is>
      </c>
      <c r="F234" t="inlineStr"/>
      <c r="G234" t="inlineStr"/>
      <c r="H234" t="inlineStr"/>
    </row>
    <row r="235">
      <c r="A235">
        <f>HYPERLINK("https://www.ebi.ac.uk/ols/ontologies/fbbt/terms?iri=http://purl.obolibrary.org/obo/FBbt_00110877","FBbt:00110877")</f>
        <v/>
      </c>
      <c r="B235" t="inlineStr">
        <is>
          <t>adult lateral horn type II neuron</t>
        </is>
      </c>
      <c r="C235" t="inlineStr">
        <is>
          <t>None</t>
        </is>
      </c>
      <c r="D235" t="inlineStr">
        <is>
          <t>Neuron of the adult lateral horn that has dendrites in the dorsolateral lateral horn and projects to the superior lateral protocerebrum and whose cell body is anterior and ventrolateral to the lateral horn. These neurons are activated by olfactory stimuli of a more selective range than lateral horn type I, and receive input from the antennal lobe projection neuron DP1m adPN.</t>
        </is>
      </c>
      <c r="E235" t="inlineStr">
        <is>
          <t>Jefferis et al., 2007, Cell 128(6): 1187--1203 (flybase.org/reports/FBrf0203179); Fişek and Wilson, 2014, Nat. Neurosci. 17(2): 280--288 (flybase.org/reports/FBrf0223996)</t>
        </is>
      </c>
      <c r="F235" t="inlineStr"/>
      <c r="G235" t="inlineStr"/>
      <c r="H235" t="inlineStr"/>
    </row>
    <row r="236">
      <c r="A236">
        <f>HYPERLINK("https://www.ebi.ac.uk/ols/ontologies/fbbt/terms?iri=http://purl.obolibrary.org/obo/FBbt_00100389","FBbt:00100389")</f>
        <v/>
      </c>
      <c r="B236" t="inlineStr">
        <is>
          <t>adult antennal lobe projection neuron DL2d adPN</t>
        </is>
      </c>
      <c r="C236" t="inlineStr">
        <is>
          <t>DL2d adPN</t>
        </is>
      </c>
      <c r="D236" t="inlineStr">
        <is>
          <t>Antennal lobe projection neuron from the ad neuroblast lineage whose dendrites innervate only antennal lobe glomerulus DL2d. Neurons of this class are derived from the 23rd larval division of the neuroblast ALad1 (FBbt:00067346) (Yu et al., 2010).</t>
        </is>
      </c>
      <c r="E236" t="inlineStr">
        <is>
          <t>Yu et al., 2010, PLoS Biol. 8(8): (flybase.org/reports/FBrf0211729)</t>
        </is>
      </c>
      <c r="F236" t="inlineStr"/>
      <c r="G236" t="inlineStr"/>
      <c r="H236" t="inlineStr"/>
    </row>
    <row r="237">
      <c r="A237">
        <f>HYPERLINK("https://www.ebi.ac.uk/ols/ontologies/fbbt/terms?iri=http://purl.obolibrary.org/obo/FBbt_00110876","FBbt:00110876")</f>
        <v/>
      </c>
      <c r="B237" t="inlineStr">
        <is>
          <t>adult lateral horn type I neuron</t>
        </is>
      </c>
      <c r="C237" t="inlineStr">
        <is>
          <t>None</t>
        </is>
      </c>
      <c r="D237" t="inlineStr">
        <is>
          <t>Neuron of the adult lateral horn that has dendrites in the lateral horn and projects to the superior medial protocerebrum and whose cell body is dorsomedial to the lateral horn. These neurons are activated by olfactory stimuli of a broad range and receive input from the antennal lobe projection neurons DM1 lPN, DM2 lPN and DM4 adPN.</t>
        </is>
      </c>
      <c r="E237" t="inlineStr">
        <is>
          <t>Fişek and Wilson, 2014, Nat. Neurosci. 17(2): 280--288 (flybase.org/reports/FBrf0223996)</t>
        </is>
      </c>
      <c r="F237" t="inlineStr"/>
      <c r="G237" t="inlineStr"/>
      <c r="H237" t="inlineStr"/>
    </row>
    <row r="238">
      <c r="A238">
        <f>HYPERLINK("https://www.ebi.ac.uk/ols/ontologies/fbbt/terms?iri=http://purl.obolibrary.org/obo/FBbt_00100243","FBbt:00100243")</f>
        <v/>
      </c>
      <c r="B238" t="inlineStr">
        <is>
          <t>mushroom body pedunculus-medial lobe arborizing neuron 1</t>
        </is>
      </c>
      <c r="C238" t="inlineStr">
        <is>
          <t>MB-MP1; MB-MP1; PPL1-gamma1pedc; PPL1-01</t>
        </is>
      </c>
      <c r="D238" t="inlineStr">
        <is>
          <t>A neuron whose cell body is located on the inferior neuropils, lateral to the calyx of each adult brain hemisphere. The cell body fiber runs anteriormedially and diverges above the ellipsoid body, with most of the branches arborizing in the crepine, superior medial and lateral protocerebrum. Another fiber turns ventromedially and projects to the opposite hemisphere. A third fiber turns ventrolaterally, runs in front of the anterior surface of the gamma lobe and then below the gamma lobe, and arborizes in the spur of the gamma lobe (slice 1) and inner core of the pedunculus. It is a dopaminergic neuron of the PPL1 cluster. There are 1-2 neurons of this type per hemisphere.</t>
        </is>
      </c>
      <c r="E238" t="inlineStr">
        <is>
          <t>Tanaka et al., 2008, J. Comp. Neurol. 508(5): 711--755 (flybase.org/reports/FBrf0205263); Liu et al., 2012, Curr. Biol. 22(22): 2114--2123 (flybase.org/reports/FBrf0220041); Aso et al., 2014, eLife 3: e04577 (flybase.org/reports/FBrf0227179)</t>
        </is>
      </c>
      <c r="F238" t="inlineStr"/>
      <c r="G238" t="inlineStr"/>
      <c r="H238" t="inlineStr"/>
    </row>
    <row r="239">
      <c r="A239">
        <f>HYPERLINK("https://www.ebi.ac.uk/ols/ontologies/fbbt/terms?iri=http://purl.obolibrary.org/obo/FBbt_00111464","FBbt:00111464")</f>
        <v/>
      </c>
      <c r="B239" t="inlineStr">
        <is>
          <t>PB slice 8-FB layers 3 and 6-ventral gall neuron</t>
        </is>
      </c>
      <c r="C239" t="inlineStr">
        <is>
          <t>PBL7-FBL4b,d&gt;IDFPL-DSB</t>
        </is>
      </c>
      <c r="D239" t="inlineStr">
        <is>
          <t>Small field neuron of the central complex with arborizations in protocerebral bridge slice 8, segment pair W (column 4) and layers 3 and 6 of fan-shaped body and in the contralateral ventral gall (ventral spindle body of IDFP).</t>
        </is>
      </c>
      <c r="E239" t="inlineStr">
        <is>
          <t>Lin et al., 2013, Cell Rep. 3(5): 1739--1753 (flybase.org/reports/FBrf0221742); Wolff et al., 2015, J. Comp. Neurol. 523(7): 997--1037 (flybase.org/reports/FBrf0227801)</t>
        </is>
      </c>
      <c r="F239" t="inlineStr"/>
      <c r="G239" t="inlineStr"/>
      <c r="H239" t="inlineStr"/>
    </row>
    <row r="240">
      <c r="A240">
        <f>HYPERLINK("https://www.ebi.ac.uk/ols/ontologies/fbbt/terms?iri=http://purl.obolibrary.org/obo/FBbt_00100244","FBbt:00100244")</f>
        <v/>
      </c>
      <c r="B240" t="inlineStr">
        <is>
          <t>mushroom body pedunculus-vertical lobe arborizing neuron 1</t>
        </is>
      </c>
      <c r="C240" t="inlineStr">
        <is>
          <t>MB-VP1; MB-VP1</t>
        </is>
      </c>
      <c r="D240" t="inlineStr">
        <is>
          <t>A neuron, which is part of a cluster of at least two neurons, whose cell body is located on the inferior neuropils, near the junction of the mushroom body lobes of each adult brain hemisphere. The cell body fiber bifurcates near the vertical lobe. One of these fibers turns ventromedially to the tip of the medial lobe, whereas the other runs dorsally. The ventromedially directed branch innervates the medial lobe through the border between the gamma and beta' lobes. One branch runs medially to the opposite medial lobe whereas the other runs laterally to the basal segments of the alpha lobe and the inner core of the pedunculus. From the alpha lobe, one branch runs dorsally, turns dorsolaterally behind the alpha lobe and terminates in the posterior of the superior neuropils where it arborizes and further spreads laterally to the anterior dorsal superior lateral protocerebrum and the inferior neuropils.</t>
        </is>
      </c>
      <c r="E240" t="inlineStr">
        <is>
          <t>Tanaka et al., 2008, J. Comp. Neurol. 508(5): 711--755 (flybase.org/reports/FBrf0205263)</t>
        </is>
      </c>
      <c r="F240" t="inlineStr"/>
      <c r="G240" t="inlineStr"/>
      <c r="H240" t="inlineStr"/>
    </row>
    <row r="241">
      <c r="A241">
        <f>HYPERLINK("https://www.ebi.ac.uk/ols/ontologies/fbbt/terms?iri=http://purl.obolibrary.org/obo/FBbt_00111463","FBbt:00111463")</f>
        <v/>
      </c>
      <c r="B241" t="inlineStr">
        <is>
          <t>PB slice 7-FB layers 3 and 6-ventral gall ipsilateral neuron</t>
        </is>
      </c>
      <c r="C241" t="inlineStr">
        <is>
          <t>PBL7-FBL4b,d&gt;IDFPL-DSB</t>
        </is>
      </c>
      <c r="D241" t="inlineStr">
        <is>
          <t>Small field neuron of the central complex with arborizations in protocerebral bridge slice 7, segment pair W (column 4) and layers 3 and 6 of fan-shaped body and in the ipsilateral ventral gall (ventral spindle body of IDFP).</t>
        </is>
      </c>
      <c r="E241" t="inlineStr">
        <is>
          <t>Lin et al., 2013, Cell Rep. 3(5): 1739--1753 (flybase.org/reports/FBrf0221742); Wolff et al., 2015, J. Comp. Neurol. 523(7): 997--1037 (flybase.org/reports/FBrf0227801)</t>
        </is>
      </c>
      <c r="F241" t="inlineStr"/>
      <c r="G241" t="inlineStr"/>
      <c r="H241" t="inlineStr"/>
    </row>
    <row r="242">
      <c r="A242">
        <f>HYPERLINK("https://www.ebi.ac.uk/ols/ontologies/fbbt/terms?iri=http://purl.obolibrary.org/obo/FBbt_00100240","FBbt:00100240")</f>
        <v/>
      </c>
      <c r="B242" t="inlineStr">
        <is>
          <t>mushroom body calyx-pedunculus arborizing neuron 1</t>
        </is>
      </c>
      <c r="C242" t="inlineStr">
        <is>
          <t>MBON-22; MB-CP1; MBON-calyx</t>
        </is>
      </c>
      <c r="D242" t="inlineStr">
        <is>
          <t>A neuron whose cell body is located on the posteriorlateral protocerebrum, ventrolateral to the calyx of the adult brain. The cell body fiber projects to and arborizes with the pedunculus where it bifurcates, with one branch turning posteriorly to extensively arborize in the calyx with a few fibers extending into the lateral horn. The other branch projects anteriorly through the pedunculus, turns medially and runs below the medial lobe. The fiber then turns dorsally and bifurcates, forming terminals in the crepine in both hemispheres.</t>
        </is>
      </c>
      <c r="E242" t="inlineStr">
        <is>
          <t>Tanaka et al., 2008, J. Comp. Neurol. 508(5): 711--755 (flybase.org/reports/FBrf0205263); Aso et al., 2014, eLife 3: e04577 (flybase.org/reports/FBrf0227179)</t>
        </is>
      </c>
      <c r="F242" t="inlineStr"/>
      <c r="G242" t="inlineStr"/>
      <c r="H242" t="inlineStr"/>
    </row>
    <row r="243">
      <c r="A243">
        <f>HYPERLINK("https://www.ebi.ac.uk/ols/ontologies/fbbt/terms?iri=http://purl.obolibrary.org/obo/FBbt_00007415","FBbt:00007415")</f>
        <v/>
      </c>
      <c r="B243" t="inlineStr">
        <is>
          <t>medial antennal lobe tract projection neuron 4</t>
        </is>
      </c>
      <c r="C243" t="inlineStr">
        <is>
          <t>atypical multiglomerular PN; multiglomerular lPN; adult multiglomerular antennal lobe projection neuron lPN; AL-mPN4</t>
        </is>
      </c>
      <c r="D243" t="inlineStr">
        <is>
          <t>Adult antennal lobe (AL) projection neuron that is derived from the AL1l neuroblast lineage. It arborizes extensively in the AL hub and innervates multiple antennal lobe glomeruli. Its cell body is located in a lateral position in the cell body rind of the AL. The dendritic arbors of these neurons do not outline individual glomeruli. There is a bifurcation where one fiber enters the medial antennal lobe tract (mALT) and the other projects to the contralateral AL via the AL commissure. Axons project through the mALT to the mushroom body calyx and the lateral horn. A branch also projects via the posterior lateral fascicle to the posterior lateral protocerebrum. There are at least 13 cells of this type.</t>
        </is>
      </c>
      <c r="E243" t="inlineStr">
        <is>
          <t>Lai et al., 2008, Development 135(17): 2883--2893 (flybase.org/reports/FBrf0205814); Tanaka et al., 2012, J. Comp. Neurol. 520(18): 4067--4130 (flybase.org/reports/FBrf0219809)</t>
        </is>
      </c>
      <c r="F243" t="inlineStr"/>
      <c r="G243" t="inlineStr"/>
      <c r="H243" t="inlineStr"/>
    </row>
    <row r="244">
      <c r="A244">
        <f>HYPERLINK("https://www.ebi.ac.uk/ols/ontologies/fbbt/terms?iri=http://purl.obolibrary.org/obo/FBbt_00100387","FBbt:00100387")</f>
        <v/>
      </c>
      <c r="B244" t="inlineStr">
        <is>
          <t>adult antennal lobe projection neuron VC3 adPN</t>
        </is>
      </c>
      <c r="C244" t="inlineStr">
        <is>
          <t>VC3 adPN</t>
        </is>
      </c>
      <c r="D244" t="inlineStr">
        <is>
          <t>Antennal lobe projection neuron from the ad neuroblast lineage whose dendrites innervate only antennal lobe glomerulus VC3. Neurons of this class are derived from the 17th larval division of the neuroblast ALad1 (FBbt:00067346) (Yu et al., 2010).</t>
        </is>
      </c>
      <c r="E244" t="inlineStr">
        <is>
          <t>Yu et al., 2010, PLoS Biol. 8(8): (flybase.org/reports/FBrf0211729)</t>
        </is>
      </c>
      <c r="F244" t="inlineStr"/>
      <c r="G244" t="inlineStr"/>
      <c r="H244" t="inlineStr"/>
    </row>
    <row r="245">
      <c r="A245">
        <f>HYPERLINK("https://www.ebi.ac.uk/ols/ontologies/fbbt/terms?iri=http://purl.obolibrary.org/obo/FBbt_00110874","FBbt:00110874")</f>
        <v/>
      </c>
      <c r="B245" t="inlineStr">
        <is>
          <t>inferior ventrolateral protocerebrum local IVLP neuron</t>
        </is>
      </c>
      <c r="C245" t="inlineStr">
        <is>
          <t>IVLP LN</t>
        </is>
      </c>
      <c r="D245" t="inlineStr">
        <is>
          <t>Neuron whose cell body is located in the cell body rind of the ventrolateral protocerebrum and innervates the unilateral inferior ventrolateral protocerebrum (IVLP) (Lai et al., 2012).</t>
        </is>
      </c>
      <c r="E245" t="inlineStr">
        <is>
          <t>Lai et al., 2012, Proc. Natl. Acad. Sci. U.S.A. 109(7): 2607--2612 (flybase.org/reports/FBrf0217491)</t>
        </is>
      </c>
      <c r="F245" t="inlineStr"/>
      <c r="G245" t="inlineStr"/>
      <c r="H245" t="inlineStr"/>
    </row>
    <row r="246">
      <c r="A246">
        <f>HYPERLINK("https://www.ebi.ac.uk/ols/ontologies/fbbt/terms?iri=http://purl.obolibrary.org/obo/FBbt_00100241","FBbt:00100241")</f>
        <v/>
      </c>
      <c r="B246" t="inlineStr">
        <is>
          <t>mushroom body medial-vertical lobe arborizing neuron 1</t>
        </is>
      </c>
      <c r="C246" t="inlineStr">
        <is>
          <t>["PPL1-gamma2alpha'1", 'MB-MV1; PPL1-03</t>
        </is>
      </c>
      <c r="D246" t="inlineStr">
        <is>
          <t>A neuron whose cell body is located in the inferior neuropils, ventrolateral to the calyx of each adult brain hemisphere. The cell body fiber projects towards the anterior of the inferior neuropils. On the way there it bifurcates with one branch turning ventrally and terminating in the ventral complex. The second branch further branches in the crepine close to the beta lobe. One of these branches runs medially to the opposite hemisphere. Another turns ventrolaterally and arborizes in the basal segments of the gamma lobe (slice 2) and alpha' lobe (slice 1). The final branch arborizes in the superior medial protocerebrum. It is a dopaminergic neuron of the PPL1 cluster. There is one neuron of this type in each hemisphere.</t>
        </is>
      </c>
      <c r="E246" t="inlineStr">
        <is>
          <t>Tanaka et al., 2008, J. Comp. Neurol. 508(5): 711--755 (flybase.org/reports/FBrf0205263); Liu et al., 2012, Curr. Biol. 22(22): 2114--2123 (flybase.org/reports/FBrf0220041); Aso et al., 2014, eLife 3: e04577 (flybase.org/reports/FBrf0227179)</t>
        </is>
      </c>
      <c r="F246" t="inlineStr"/>
      <c r="G246" t="inlineStr"/>
      <c r="H246" t="inlineStr"/>
    </row>
    <row r="247">
      <c r="A247">
        <f>HYPERLINK("https://www.ebi.ac.uk/ols/ontologies/fbbt/terms?iri=http://purl.obolibrary.org/obo/FBbt_00050082","FBbt:00050082")</f>
        <v/>
      </c>
      <c r="B247" t="inlineStr">
        <is>
          <t>adult LHp1 lineage neuron</t>
        </is>
      </c>
      <c r="C247" t="inlineStr">
        <is>
          <t>None</t>
        </is>
      </c>
      <c r="D247" t="inlineStr">
        <is>
          <t>Any neuron (FBbt:00005106) that is part of some adult brain (FBbt:00003624) and that develops from some neuroblast LHp1 (FBbt:00050080).</t>
        </is>
      </c>
      <c r="E247" t="inlineStr">
        <is>
          <t>Yu et al., 2013, Curr. Biol. 23(8): 633--643 (flybase.org/reports/FBrf0221412); Ito et al., 2013, Curr. Biol. 23(8): 644--655 (flybase.org/reports/FBrf0221438)</t>
        </is>
      </c>
      <c r="F247" t="inlineStr"/>
      <c r="G247" t="inlineStr"/>
      <c r="H247" t="inlineStr"/>
    </row>
    <row r="248">
      <c r="A248">
        <f>HYPERLINK("https://www.ebi.ac.uk/ols/ontologies/fbbt/terms?iri=http://purl.obolibrary.org/obo/FBbt_00111462","FBbt:00111462")</f>
        <v/>
      </c>
      <c r="B248" t="inlineStr">
        <is>
          <t>PB slice 7-FB layers 3 and 6-ventral gall neuron</t>
        </is>
      </c>
      <c r="C248" t="inlineStr">
        <is>
          <t>PBL7-FBL3b,d&gt;IDFPR-DSB; PBR7-FBR4b,d&gt;IDFPL-DSB</t>
        </is>
      </c>
      <c r="D248" t="inlineStr">
        <is>
          <t>Small field neuron of the central complex with arborizations in protocerebral bridge slice 7, segment pair X or W (column 3 or 4) and layers 3 and 6 of fan-shaped body and in the contralateral ventral gall (ventral spindle body of IDFP).</t>
        </is>
      </c>
      <c r="E248" t="inlineStr">
        <is>
          <t>Lin et al., 2013, Cell Rep. 3(5): 1739--1753 (flybase.org/reports/FBrf0221742); Wolff et al., 2015, J. Comp. Neurol. 523(7): 997--1037 (flybase.org/reports/FBrf0227801)</t>
        </is>
      </c>
      <c r="F248" t="inlineStr"/>
      <c r="G248" t="inlineStr"/>
      <c r="H248" t="inlineStr"/>
    </row>
    <row r="249">
      <c r="A249">
        <f>HYPERLINK("https://www.ebi.ac.uk/ols/ontologies/fbbt/terms?iri=http://purl.obolibrary.org/obo/FBbt_00007414","FBbt:00007414")</f>
        <v/>
      </c>
      <c r="B249" t="inlineStr">
        <is>
          <t>adult multiglomerular antennal lobe projection neuron vPN</t>
        </is>
      </c>
      <c r="C249" t="inlineStr">
        <is>
          <t>vmulti; multi vPN; multiglomerular projection neuron vPN; multiglomerular vPN</t>
        </is>
      </c>
      <c r="D249" t="inlineStr">
        <is>
          <t>Adult antennal lobe projection neuron that is derived from the ventral AL neuroblast lineage and that innervates multiple antennal lobe glomeruli. The dendritic arbors of these neurons do not form glomerular shapes (Lai et al., 2008). All of these neurons have an axon that innervates the lateral horn.</t>
        </is>
      </c>
      <c r="E249" t="inlineStr">
        <is>
          <t>Marin et al., 2002, Cell 109(2): 243--255 (flybase.org/reports/FBrf0146917); Jefferis et al., 2007, Cell 128(6): 1187--1203 (flybase.org/reports/FBrf0203179); Lai et al., 2008, Development 135(17): 2883--2893 (flybase.org/reports/FBrf0205814)</t>
        </is>
      </c>
      <c r="F249" t="inlineStr"/>
      <c r="G249" t="inlineStr"/>
      <c r="H249" t="inlineStr"/>
    </row>
    <row r="250">
      <c r="A250">
        <f>HYPERLINK("https://www.ebi.ac.uk/ols/ontologies/fbbt/terms?iri=http://purl.obolibrary.org/obo/FBbt_00100388","FBbt:00100388")</f>
        <v/>
      </c>
      <c r="B250" t="inlineStr">
        <is>
          <t>adult antennal lobe projection neuron DL2v adPN</t>
        </is>
      </c>
      <c r="C250" t="inlineStr">
        <is>
          <t>DL2v adPN</t>
        </is>
      </c>
      <c r="D250" t="inlineStr">
        <is>
          <t>Antennal lobe projection neuron from the ad neuroblast lineage whose dendrites innervate only antennal lobe glomerulus DL2v. Neurons of this class are derived from the 22nd larval division of the neuroblast ALad1 (FBbt:00067346) (Yu et al., 2010).</t>
        </is>
      </c>
      <c r="E250" t="inlineStr">
        <is>
          <t>Yu et al., 2010, PLoS Biol. 8(8): (flybase.org/reports/FBrf0211729)</t>
        </is>
      </c>
      <c r="F250" t="inlineStr"/>
      <c r="G250" t="inlineStr"/>
      <c r="H250" t="inlineStr"/>
    </row>
    <row r="251">
      <c r="A251">
        <f>HYPERLINK("https://www.ebi.ac.uk/ols/ontologies/fbbt/terms?iri=http://purl.obolibrary.org/obo/FBbt_00110873","FBbt:00110873")</f>
        <v/>
      </c>
      <c r="B251" t="inlineStr">
        <is>
          <t>antennal mechanosensory and motor center local AMMC anterolateral neuron</t>
        </is>
      </c>
      <c r="C251" t="inlineStr">
        <is>
          <t>AMMC-LN; AMMC LN; AMMC local neuron (anterolateral); aLN(al)</t>
        </is>
      </c>
      <c r="D251" t="inlineStr">
        <is>
          <t>Neuron whose cell body is located in the cell body rind of the anteroventral region of the gnathal region. The primary neurite extends anteriomedially and turns sharply to form predominantly postsynaptic sites in the ipsilateral zone B and both post- and presynaptic terminals in the ipsilateral zone D of the antennal mechanosensory and motor center (AMMC). It is a GABAergic neuron.</t>
        </is>
      </c>
      <c r="E251" t="inlineStr">
        <is>
          <t>Lai et al., 2012, Proc. Natl. Acad. Sci. U.S.A. 109(7): 2607--2612 (flybase.org/reports/FBrf0217491); Vaughan et al., 2014, Curr. Biol. 24(10): 1039--1049 (flybase.org/reports/FBrf0225096); Matsuo et al., 2014, Front. Physiol. 5: 179 (flybase.org/reports/FBrf0225118); Matsuo et al., 2016, J. Comp. Neurol. 524(6): 1099--1164 (flybase.org/reports/FBrf0230862)</t>
        </is>
      </c>
      <c r="F251" t="inlineStr"/>
      <c r="G251" t="inlineStr"/>
      <c r="H251" t="inlineStr"/>
    </row>
    <row r="252">
      <c r="A252">
        <f>HYPERLINK("https://www.ebi.ac.uk/ols/ontologies/fbbt/terms?iri=http://purl.obolibrary.org/obo/FBbt_00100242","FBbt:00100242")</f>
        <v/>
      </c>
      <c r="B252" t="inlineStr">
        <is>
          <t>mushroom body medial-vertical lobe arborizing neuron 2</t>
        </is>
      </c>
      <c r="C252" t="inlineStr">
        <is>
          <t>MB-MV2; MBON-06; MB-MV2; MBON-beta1&gt;alpha</t>
        </is>
      </c>
      <c r="D252" t="inlineStr">
        <is>
          <t>A glutamatergic neuron whose cell body is located in front of the ventral complex, ventral to the junction of the lobes in each adult brain hemisphere. The cell body fiber runs dorsomedially to the opposite hemisphere. It bifurcates behind the tip of the beta' lobe: one of the fibers runs ventrally and enters the medial-most part of the beta lobe arborizing all three slices; its axon runs dorsolaterally towards the tip region of the vertical lobe, with terminals found in the three alpha lobe slices and in the superior medial, intermediate and lateral protocerebrum. In the alpha lobe slice 3, the terminals are concentrated in the posterior and surface layers. There is one neuron of this type in each hemisphere.</t>
        </is>
      </c>
      <c r="E252" t="inlineStr">
        <is>
          <t>Tanaka et al., 2008, J. Comp. Neurol. 508(5): 711--755 (flybase.org/reports/FBrf0205263); Aso et al., 2014, eLife 3: e04577 (flybase.org/reports/FBrf0227179)</t>
        </is>
      </c>
      <c r="F252" t="inlineStr"/>
      <c r="G252" t="inlineStr"/>
      <c r="H252" t="inlineStr"/>
    </row>
    <row r="253">
      <c r="A253">
        <f>HYPERLINK("https://www.ebi.ac.uk/ols/ontologies/fbbt/terms?iri=http://purl.obolibrary.org/obo/FBbt_00100384","FBbt:00100384")</f>
        <v/>
      </c>
      <c r="B253" t="inlineStr">
        <is>
          <t>adult antennal lobe projection neuron DA3 adPN</t>
        </is>
      </c>
      <c r="C253" t="inlineStr">
        <is>
          <t>DA3 adPN</t>
        </is>
      </c>
      <c r="D253" t="inlineStr">
        <is>
          <t>Antennal lobe projection neuron from the ad neuroblast lineage (embryonic born) whose dendrites innervate only antennal lobe glomerulus DA3. Neurons of this class are born during the 2nd larval division of the neuroblast ALad1 (FBbt:00067346) (Yu et al., 2010).</t>
        </is>
      </c>
      <c r="E253" t="inlineStr">
        <is>
          <t>Yu et al., 2010, PLoS Biol. 8(8): (flybase.org/reports/FBrf0211729)</t>
        </is>
      </c>
      <c r="F253" t="inlineStr"/>
      <c r="G253" t="inlineStr"/>
      <c r="H253" t="inlineStr"/>
    </row>
    <row r="254">
      <c r="A254">
        <f>HYPERLINK("https://www.ebi.ac.uk/ols/ontologies/fbbt/terms?iri=http://purl.obolibrary.org/obo/FBbt_00111469","FBbt:00111469")</f>
        <v/>
      </c>
      <c r="B254" t="inlineStr">
        <is>
          <t>antennal mechanosensory and motor center AMMC Bi5 neuron</t>
        </is>
      </c>
      <c r="C254" t="inlineStr">
        <is>
          <t>AMMC-Bi5</t>
        </is>
      </c>
      <c r="D254" t="inlineStr">
        <is>
          <t>Ipsilateral neuron whose cell body is located in the cell body rind on the ventral side of the anterior ventrolateral protocerebrum (AVLP). The primary neurite extends ventromedially and bifurcates: the dorsal branch projects anteriodorsally to innervate the ipsilateral antennal mechanosensory and motor center (AMMC) zone A; the ventral branch projects posteriomedially to form postsynaptic terminals in the posterior gnathal ganglion, saddle and inferior posterior slope.</t>
        </is>
      </c>
      <c r="E254" t="inlineStr">
        <is>
          <t>Matsuo et al., 2016, J. Comp. Neurol. 524(6): 1099--1164 (flybase.org/reports/FBrf0230862)</t>
        </is>
      </c>
      <c r="F254" t="inlineStr"/>
      <c r="G254" t="inlineStr"/>
      <c r="H254" t="inlineStr"/>
    </row>
    <row r="255">
      <c r="A255">
        <f>HYPERLINK("https://www.ebi.ac.uk/ols/ontologies/fbbt/terms?iri=http://purl.obolibrary.org/obo/FBbt_00100385","FBbt:00100385")</f>
        <v/>
      </c>
      <c r="B255" t="inlineStr">
        <is>
          <t>adult antennal lobe projection neuron VM5d adPN</t>
        </is>
      </c>
      <c r="C255" t="inlineStr">
        <is>
          <t>VM5d adPN</t>
        </is>
      </c>
      <c r="D255" t="inlineStr">
        <is>
          <t>Antennal lobe projection neuron from the ad neuroblast lineage whose dendrites innervate only antennal lobe glomerulus VM5d. Neurons of this class are derived from the 15th larval division of the neuroblast ALad1 (FBbt:00067346) (Yu et al., 2010).</t>
        </is>
      </c>
      <c r="E255" t="inlineStr">
        <is>
          <t>Yu et al., 2010, PLoS Biol. 8(8): (flybase.org/reports/FBrf0211729)</t>
        </is>
      </c>
      <c r="F255" t="inlineStr"/>
      <c r="G255" t="inlineStr"/>
      <c r="H255" t="inlineStr"/>
    </row>
    <row r="256">
      <c r="A256">
        <f>HYPERLINK("https://www.ebi.ac.uk/ols/ontologies/fbbt/terms?iri=http://purl.obolibrary.org/obo/FBbt_00111468","FBbt:00111468")</f>
        <v/>
      </c>
      <c r="B256" t="inlineStr">
        <is>
          <t>antennal mechanosensory and motor center AMMC Bi4 neuron</t>
        </is>
      </c>
      <c r="C256" t="inlineStr">
        <is>
          <t>AMMC-Bi4</t>
        </is>
      </c>
      <c r="D256" t="inlineStr">
        <is>
          <t>Ipsilateral neuron whose cell body is located in the cell body rind of the ventroposterior region of the gnathal ganglion. The primary neurite extends dorsolaterally to form postsynaptic terminals in the posterior gnathal ganglion and presynaptic terminals in the ipsilateral antennal mechanosensory and motor center (AMMC) zone D.</t>
        </is>
      </c>
      <c r="E256" t="inlineStr">
        <is>
          <t>Matsuo et al., 2016, J. Comp. Neurol. 524(6): 1099--1164 (flybase.org/reports/FBrf0230862)</t>
        </is>
      </c>
      <c r="F256" t="inlineStr"/>
      <c r="G256" t="inlineStr"/>
      <c r="H256" t="inlineStr"/>
    </row>
    <row r="257">
      <c r="A257">
        <f>HYPERLINK("https://www.ebi.ac.uk/ols/ontologies/fbbt/terms?iri=http://purl.obolibrary.org/obo/FBbt_00100386","FBbt:00100386")</f>
        <v/>
      </c>
      <c r="B257" t="inlineStr">
        <is>
          <t>adult antennal lobe projection neuron VM5v adPN</t>
        </is>
      </c>
      <c r="C257" t="inlineStr">
        <is>
          <t>VM5v adPN</t>
        </is>
      </c>
      <c r="D257" t="inlineStr">
        <is>
          <t>Antennal lobe projection neuron from the ad neuroblast lineage whose dendrites innervate only antennal lobe glomerulus VM5v. Neurons of this class are derived from the 16th larval division of the neuroblast ALad1 (FBbt:00067346) (Yu et al., 2010).</t>
        </is>
      </c>
      <c r="E257" t="inlineStr">
        <is>
          <t>Yu et al., 2010, PLoS Biol. 8(8): (flybase.org/reports/FBrf0211729)</t>
        </is>
      </c>
      <c r="F257" t="inlineStr"/>
      <c r="G257" t="inlineStr"/>
      <c r="H257" t="inlineStr"/>
    </row>
    <row r="258">
      <c r="A258">
        <f>HYPERLINK("https://www.ebi.ac.uk/ols/ontologies/fbbt/terms?iri=http://purl.obolibrary.org/obo/FBbt_00111467","FBbt:00111467")</f>
        <v/>
      </c>
      <c r="B258" t="inlineStr">
        <is>
          <t>antennal mechanosensory and motor center AMMC Bi3 neuron</t>
        </is>
      </c>
      <c r="C258" t="inlineStr">
        <is>
          <t>AMMC-Bi3</t>
        </is>
      </c>
      <c r="D258" t="inlineStr">
        <is>
          <t>Ipsilateral neuron whose cell body is located in the cell body rind of the ventroposterior region of the gnathal ganglion. The primary neurite extends dorsally to innervate the posterior gnathal ganglion and extends anterodorsally to form postsynaptic terminals in the ipsilateral antennal mechanosensory and motor center (AMMC) zone B.</t>
        </is>
      </c>
      <c r="E258" t="inlineStr">
        <is>
          <t>Matsuo et al., 2016, J. Comp. Neurol. 524(6): 1099--1164 (flybase.org/reports/FBrf0230862)</t>
        </is>
      </c>
      <c r="F258" t="inlineStr"/>
      <c r="G258" t="inlineStr"/>
      <c r="H258" t="inlineStr"/>
    </row>
    <row r="259">
      <c r="A259">
        <f>HYPERLINK("https://www.ebi.ac.uk/ols/ontologies/fbbt/terms?iri=http://purl.obolibrary.org/obo/FBbt_00100382","FBbt:00100382")</f>
        <v/>
      </c>
      <c r="B259" t="inlineStr">
        <is>
          <t>adult antennal lobe projection neuron DL4 adPN</t>
        </is>
      </c>
      <c r="C259" t="inlineStr">
        <is>
          <t>DL4 adPN</t>
        </is>
      </c>
      <c r="D259" t="inlineStr">
        <is>
          <t>Antennal lobe projection neuron from the ad neuroblast lineage (embryonic born) whose dendrites innervate only antennal lobe glomerulus DL4. Neurons of this class are born during the 20th and final division of the neuroblast ALad1 (FBbt:00067346) during embryogenesis (Yu et al., 2010). It innervates the posteriomedial region of the lateral horn and the mushroom body calyx.</t>
        </is>
      </c>
      <c r="E259" t="inlineStr">
        <is>
          <t>Yu et al., 2010, PLoS Biol. 8(8): (flybase.org/reports/FBrf0211729); Ebrahim et al., 2015, PLoS Biol. 13(12): e1002318 (flybase.org/reports/FBrf0230518)</t>
        </is>
      </c>
      <c r="F259" t="inlineStr"/>
      <c r="G259" t="inlineStr"/>
      <c r="H259" t="inlineStr"/>
    </row>
    <row r="260">
      <c r="A260">
        <f>HYPERLINK("https://www.ebi.ac.uk/ols/ontologies/fbbt/terms?iri=http://purl.obolibrary.org/obo/FBbt_00100383","FBbt:00100383")</f>
        <v/>
      </c>
      <c r="B260" t="inlineStr">
        <is>
          <t>adult antennal lobe projection neuron VC4 adPN</t>
        </is>
      </c>
      <c r="C260" t="inlineStr">
        <is>
          <t>VC4 adPN</t>
        </is>
      </c>
      <c r="D260" t="inlineStr">
        <is>
          <t>Antennal lobe projection neuron from the ad neuroblast lineage whose dendrites innervate only antennal lobe glomerulus VC4. Neurons of this class are derived from the 14th larval division of the neuroblast ALad1 (FBbt:00067346) (Yu et al., 2010).</t>
        </is>
      </c>
      <c r="E260" t="inlineStr">
        <is>
          <t>Yu et al., 2010, PLoS Biol. 8(8): (flybase.org/reports/FBrf0211729)</t>
        </is>
      </c>
      <c r="F260" t="inlineStr"/>
      <c r="G260" t="inlineStr"/>
      <c r="H260" t="inlineStr"/>
    </row>
    <row r="261">
      <c r="A261">
        <f>HYPERLINK("https://www.ebi.ac.uk/ols/ontologies/fbbt/terms?iri=http://purl.obolibrary.org/obo/FBbt_00111466","FBbt:00111466")</f>
        <v/>
      </c>
      <c r="B261" t="inlineStr">
        <is>
          <t>antennal mechanosensory and motor center local AMMC Bi2 neuron</t>
        </is>
      </c>
      <c r="C261" t="inlineStr">
        <is>
          <t>AMMC-Bi2</t>
        </is>
      </c>
      <c r="D261" t="inlineStr">
        <is>
          <t>Ipsilateral neuron whose cell body is located in the cell body rind of the ventral region of the antennal mechanosensory and motor center (AMMC). The primary neurite extends dorsally to innervate the ipsilateral AMMC zones B and E. Presynaptic terminals are found in both zones.</t>
        </is>
      </c>
      <c r="E261" t="inlineStr">
        <is>
          <t>Matsuo et al., 2016, J. Comp. Neurol. 524(6): 1099--1164 (flybase.org/reports/FBrf0230862)</t>
        </is>
      </c>
      <c r="F261" t="inlineStr"/>
      <c r="G261" t="inlineStr"/>
      <c r="H261" t="inlineStr"/>
    </row>
    <row r="262">
      <c r="A262">
        <f>HYPERLINK("https://www.ebi.ac.uk/ols/ontologies/fbbt/terms?iri=http://purl.obolibrary.org/obo/FBbt_00100380","FBbt:00100380")</f>
        <v/>
      </c>
      <c r="B262" t="inlineStr">
        <is>
          <t>adult antennal lobe projection neuron VL2a adPN</t>
        </is>
      </c>
      <c r="C262" t="inlineStr">
        <is>
          <t>VL2a adPN</t>
        </is>
      </c>
      <c r="D262" t="inlineStr">
        <is>
          <t>Antennal lobe projection neuron from the ad neuroblast lineage whose dendrites innervate only antennal lobe glomerulus VL2a. This neuron is born from the tenth division of the neuroblast ALad1 (FBbt:00067346) during embryogenesis (Yu et al., 2010). It innervates the antero-ventral lateral horn (Grosjean et al., 2011). Its terminals in this region overlap extensively with the terminals of DA1 and VA1lm projection neurons, which have been implicated in a pheromone-sensing pathway (Jefferis et al., 2007).</t>
        </is>
      </c>
      <c r="E262" t="inlineStr">
        <is>
          <t>Jefferis et al., 2007, Cell 128(6): 1187--1203 (flybase.org/reports/FBrf0203179); Yu et al., 2010, PLoS Biol. 8(8): (flybase.org/reports/FBrf0211729); Grosjean et al., 2011, Nature 478(7368): 236--240 (flybase.org/reports/FBrf0216424)</t>
        </is>
      </c>
      <c r="F262" t="inlineStr"/>
      <c r="G262" t="inlineStr"/>
      <c r="H262" t="inlineStr"/>
    </row>
    <row r="263">
      <c r="A263">
        <f>HYPERLINK("https://www.ebi.ac.uk/ols/ontologies/fbbt/terms?iri=http://purl.obolibrary.org/obo/FBbt_00100381","FBbt:00100381")</f>
        <v/>
      </c>
      <c r="B263" t="inlineStr">
        <is>
          <t>adult antennal lobe projection neuron DM4 adPN</t>
        </is>
      </c>
      <c r="C263" t="inlineStr">
        <is>
          <t>DM4 adPN</t>
        </is>
      </c>
      <c r="D263" t="inlineStr">
        <is>
          <t>Antennal lobe projection neuron from the ad neuroblast lineage whose dendrites innervate only antennal lobe glomerulus DM4. This neuron is born from the 15th division of the neuroblast ALad1 (FBbt:00067346) during embryogenesis (Yu et al., 2010).</t>
        </is>
      </c>
      <c r="E263" t="inlineStr">
        <is>
          <t>Yu et al., 2010, PLoS Biol. 8(8): (flybase.org/reports/FBrf0211729)</t>
        </is>
      </c>
      <c r="F263" t="inlineStr"/>
      <c r="G263" t="inlineStr"/>
      <c r="H263" t="inlineStr"/>
    </row>
    <row r="264">
      <c r="A264">
        <f>HYPERLINK("https://www.ebi.ac.uk/ols/ontologies/fbbt/terms?iri=http://purl.obolibrary.org/obo/FBbt_00048286","FBbt:00048286")</f>
        <v/>
      </c>
      <c r="B264" t="inlineStr">
        <is>
          <t>adult visual projection neuron</t>
        </is>
      </c>
      <c r="C264" t="inlineStr">
        <is>
          <t>adult VPN</t>
        </is>
      </c>
      <c r="D264" t="inlineStr">
        <is>
          <t>Neuron that projects from the adult optic lobe to the central brain, conveying information from light stimuli.</t>
        </is>
      </c>
      <c r="E264" t="inlineStr">
        <is>
          <t>Otsuna and Ito, 2006, J. Comp. Neurol. 497(6): 928--958 (flybase.org/reports/FBrf0193607)</t>
        </is>
      </c>
      <c r="F264" t="inlineStr"/>
      <c r="G264" t="inlineStr"/>
      <c r="H264" t="inlineStr"/>
    </row>
    <row r="265">
      <c r="A265">
        <f>HYPERLINK("https://www.ebi.ac.uk/ols/ontologies/fbbt/terms?iri=http://purl.obolibrary.org/obo/FBbt_00111461","FBbt:00111461")</f>
        <v/>
      </c>
      <c r="B265" t="inlineStr">
        <is>
          <t>PB slice 6-FB layers 3 and 6-ventral gall neuron</t>
        </is>
      </c>
      <c r="C265" t="inlineStr">
        <is>
          <t>PBL6-FBL3b,d&gt;IDFPR-DSB; PBR6-FBR3b,d&gt;IDFPL-DSB</t>
        </is>
      </c>
      <c r="D265" t="inlineStr">
        <is>
          <t>Small field neuron of the central complex with arborizations in protocerebral bridge slice 6, segment pair X (column 3) and layers 3 and 6 of fan-shaped body and in the contralateral ventral gall (ventral spindle body of IDFP).</t>
        </is>
      </c>
      <c r="E265" t="inlineStr">
        <is>
          <t>Lin et al., 2013, Cell Rep. 3(5): 1739--1753 (flybase.org/reports/FBrf0221742); Wolff et al., 2015, J. Comp. Neurol. 523(7): 997--1037 (flybase.org/reports/FBrf0227801)</t>
        </is>
      </c>
      <c r="F265" t="inlineStr"/>
      <c r="G265" t="inlineStr"/>
      <c r="H265" t="inlineStr"/>
    </row>
    <row r="266">
      <c r="A266">
        <f>HYPERLINK("https://www.ebi.ac.uk/ols/ontologies/fbbt/terms?iri=http://purl.obolibrary.org/obo/FBbt_00111460","FBbt:00111460")</f>
        <v/>
      </c>
      <c r="B266" t="inlineStr">
        <is>
          <t>PB slice 4-FB layers 3 and 6-ventral gall neuron</t>
        </is>
      </c>
      <c r="C266" t="inlineStr">
        <is>
          <t>PBR4-FBR1b,d&gt;IDFPL-DSB</t>
        </is>
      </c>
      <c r="D266" t="inlineStr">
        <is>
          <t>Small field neuron of the central complex with arborizations in protocerebral bridge slice 4, segment pair Z (column 1) and layers 3 and 6 of fan-shaped body and in the contralateral ventral gall (ventral spindle body of IDFP).</t>
        </is>
      </c>
      <c r="E266" t="inlineStr">
        <is>
          <t>Lin et al., 2013, Cell Rep. 3(5): 1739--1753 (flybase.org/reports/FBrf0221742); Wolff et al., 2015, J. Comp. Neurol. 523(7): 997--1037 (flybase.org/reports/FBrf0227801)</t>
        </is>
      </c>
      <c r="F266" t="inlineStr"/>
      <c r="G266" t="inlineStr"/>
      <c r="H266" t="inlineStr"/>
    </row>
    <row r="267">
      <c r="A267">
        <f>HYPERLINK("https://www.ebi.ac.uk/ols/ontologies/fbbt/terms?iri=http://purl.obolibrary.org/obo/FBbt_00050088","FBbt:00050088")</f>
        <v/>
      </c>
      <c r="B267" t="inlineStr">
        <is>
          <t>adult WEDa1 lineage neuron</t>
        </is>
      </c>
      <c r="C267" t="inlineStr">
        <is>
          <t>None</t>
        </is>
      </c>
      <c r="D267" t="inlineStr">
        <is>
          <t>Any neuron (FBbt:00005106) that is part of some adult brain (FBbt:00003624) and that develops from some neuroblast WEDa1 (FBbt:00050086).</t>
        </is>
      </c>
      <c r="E267" t="inlineStr">
        <is>
          <t>Yu et al., 2013, Curr. Biol. 23(8): 633--643 (flybase.org/reports/FBrf0221412); Ito et al., 2013, Curr. Biol. 23(8): 644--655 (flybase.org/reports/FBrf0221438)</t>
        </is>
      </c>
      <c r="F267" t="inlineStr"/>
      <c r="G267" t="inlineStr"/>
      <c r="H267" t="inlineStr"/>
    </row>
    <row r="268">
      <c r="A268">
        <f>HYPERLINK("https://www.ebi.ac.uk/ols/ontologies/fbbt/terms?iri=http://purl.obolibrary.org/obo/FBbt_00050085","FBbt:00050085")</f>
        <v/>
      </c>
      <c r="B268" t="inlineStr">
        <is>
          <t>adult DL2 lineage neuron</t>
        </is>
      </c>
      <c r="C268" t="inlineStr">
        <is>
          <t>None</t>
        </is>
      </c>
      <c r="D268" t="inlineStr">
        <is>
          <t>Any neuron (FBbt:00005106) that is part of some adult brain (FBbt:00003624) and that develops from some neuroblast DL2 (FBbt:00050083).</t>
        </is>
      </c>
      <c r="E268" t="inlineStr">
        <is>
          <t>Yu et al., 2013, Curr. Biol. 23(8): 633--643 (flybase.org/reports/FBrf0221412); Ito et al., 2013, Curr. Biol. 23(8): 644--655 (flybase.org/reports/FBrf0221438)</t>
        </is>
      </c>
      <c r="F268" t="inlineStr"/>
      <c r="G268" t="inlineStr"/>
      <c r="H268" t="inlineStr"/>
    </row>
    <row r="269">
      <c r="A269">
        <f>HYPERLINK("https://www.ebi.ac.uk/ols/ontologies/fbbt/terms?iri=http://purl.obolibrary.org/obo/FBbt_00005900","FBbt:00005900")</f>
        <v/>
      </c>
      <c r="B269" t="inlineStr">
        <is>
          <t>ventral brain cluster neuron</t>
        </is>
      </c>
      <c r="C269" t="inlineStr">
        <is>
          <t>VBC neuron</t>
        </is>
      </c>
      <c r="D269" t="inlineStr">
        <is>
          <t>A neuron that is part of a cluster of atonal expressing neurons whose cell bodies are located ventrally in the central adult brain. It projects along the brain lobula border.</t>
        </is>
      </c>
      <c r="E269" t="inlineStr">
        <is>
          <t>Hassan et al., 2000, Neuron 25(3): 549--561 (flybase.org/reports/FBrf0127108)</t>
        </is>
      </c>
      <c r="F269" t="inlineStr"/>
      <c r="G269" t="inlineStr"/>
      <c r="H269" t="inlineStr"/>
    </row>
    <row r="270">
      <c r="A270">
        <f>HYPERLINK("https://www.ebi.ac.uk/ols/ontologies/fbbt/terms?iri=http://purl.obolibrary.org/obo/FBbt_00050141","FBbt:00050141")</f>
        <v/>
      </c>
      <c r="B270" t="inlineStr">
        <is>
          <t>adult LHp2 lineage neuron</t>
        </is>
      </c>
      <c r="C270" t="inlineStr">
        <is>
          <t>None</t>
        </is>
      </c>
      <c r="D270" t="inlineStr">
        <is>
          <t>Any neuron (FBbt:00005106) that is part of some adult brain (FBbt:00003624) and that develops from some neuroblast LHp2 (FBbt:00050139).</t>
        </is>
      </c>
      <c r="E270" t="inlineStr">
        <is>
          <t>Yu et al., 2013, Curr. Biol. 23(8): 633--643 (flybase.org/reports/FBrf0221412); Ito et al., 2013, Curr. Biol. 23(8): 644--655 (flybase.org/reports/FBrf0221438)</t>
        </is>
      </c>
      <c r="F270" t="inlineStr"/>
      <c r="G270" t="inlineStr"/>
      <c r="H270" t="inlineStr"/>
    </row>
    <row r="271">
      <c r="A271">
        <f>HYPERLINK("https://www.ebi.ac.uk/ols/ontologies/fbbt/terms?iri=http://purl.obolibrary.org/obo/FBbt_00050281","FBbt:00050281")</f>
        <v/>
      </c>
      <c r="B271" t="inlineStr">
        <is>
          <t>adult LHa3 lineage neuron</t>
        </is>
      </c>
      <c r="C271" t="inlineStr">
        <is>
          <t>None</t>
        </is>
      </c>
      <c r="D271" t="inlineStr">
        <is>
          <t>Any neuron (FBbt:00005106) that is part of some adult brain (FBbt:00003624) and that develops from some neuroblast LHa3 (FBbt:00050279).</t>
        </is>
      </c>
      <c r="E271" t="inlineStr">
        <is>
          <t>Yu et al., 2013, Curr. Biol. 23(8): 633--643 (flybase.org/reports/FBrf0221412); Ito et al., 2013, Curr. Biol. 23(8): 644--655 (flybase.org/reports/FBrf0221438)</t>
        </is>
      </c>
      <c r="F271" t="inlineStr"/>
      <c r="G271" t="inlineStr"/>
      <c r="H271" t="inlineStr"/>
    </row>
    <row r="272">
      <c r="A272">
        <f>HYPERLINK("https://www.ebi.ac.uk/ols/ontologies/fbbt/terms?iri=http://purl.obolibrary.org/obo/FBbt_00110937","FBbt:00110937")</f>
        <v/>
      </c>
      <c r="B272" t="inlineStr">
        <is>
          <t>adult serotonergic IP neuron</t>
        </is>
      </c>
      <c r="C272" t="inlineStr">
        <is>
          <t>None</t>
        </is>
      </c>
      <c r="D272" t="inlineStr">
        <is>
          <t>Adult serotonergic neuron whose cell body is located in a cluster of approximately six cells the inferior protocerebrum (Giang et al., 2011). Some of these neurons project to the contralateral hemisphere and innervate the optic lobe (Valles and White, 1988).</t>
        </is>
      </c>
      <c r="E272" t="inlineStr">
        <is>
          <t>Valles and White, 1988, J. Comp. Neurol. 268(3): 414--428 (flybase.org/reports/FBrf0048551); Giang et al., 2011, J. Neurogenet. 25(1-2): 17--26 (flybase.org/reports/FBrf0213697)</t>
        </is>
      </c>
      <c r="F272" t="inlineStr"/>
      <c r="G272" t="inlineStr"/>
      <c r="H272" t="inlineStr"/>
    </row>
    <row r="273">
      <c r="A273">
        <f>HYPERLINK("https://www.ebi.ac.uk/ols/ontologies/fbbt/terms?iri=http://purl.obolibrary.org/obo/FBbt_00100238","FBbt:00100238")</f>
        <v/>
      </c>
      <c r="B273" t="inlineStr">
        <is>
          <t>mushroom body vertical lobe arborizing neuron 3</t>
        </is>
      </c>
      <c r="C273" t="inlineStr">
        <is>
          <t>MB-V3; MBON-alpha3; MBON-14</t>
        </is>
      </c>
      <c r="D273" t="inlineStr">
        <is>
          <t>Cholinergic neuron whose cell body is located in the dorsal-most area of the subesophageal ganglion, ventromedial to the antennal lobe of the adult brain. The cell body fiber ascends through the median bundle to the level of the gamma lobe, and then projects towards the tip of the alpha lobe (slice 3) where it forms a dense arborization, with sparse terminals in the superiormedial protocerebrum. On the way to the alpha lobe, the axon branches off forming terminals in the superior medial, intermediate and lateral protocerebrum. There are 2 neurons of this type per hemisphere. They are also involved in long-term memory formation and synapse onto the dorsal anterior lateral neurons of the protocerebrum (Wu et al., 2017).</t>
        </is>
      </c>
      <c r="E273" t="inlineStr">
        <is>
          <t>Tanaka et al., 2008, J. Comp. Neurol. 508(5): 711--755 (flybase.org/reports/FBrf0205263); Plaçais et al., 2013, Cell Rep. 5(3): 769--780 (flybase.org/reports/FBrf0223306); Aso et al., 2014, eLife 3: e04577 (flybase.org/reports/FBrf0227179); Wu et al., 2017, Sci. Rep. 7(1): 7112 (flybase.org/reports/FBrf0236302)</t>
        </is>
      </c>
      <c r="F273" t="inlineStr"/>
      <c r="G273" t="inlineStr"/>
      <c r="H273" t="inlineStr"/>
    </row>
    <row r="274">
      <c r="A274">
        <f>HYPERLINK("https://www.ebi.ac.uk/ols/ontologies/fbbt/terms?iri=http://purl.obolibrary.org/obo/FBbt_00111661","FBbt:00111661")</f>
        <v/>
      </c>
      <c r="B274" t="inlineStr">
        <is>
          <t>adult antennal mechanosensory and motor center projection neuron</t>
        </is>
      </c>
      <c r="C274" t="inlineStr">
        <is>
          <t>adult AMMC PN; adult AMMC projection neuron</t>
        </is>
      </c>
      <c r="D274" t="inlineStr">
        <is>
          <t>Any projection neuron (FBbt:00007392) that has postsynaptic terminals in some antennal mechanosensory and motor center (FBbt:00003982).</t>
        </is>
      </c>
      <c r="E274" t="inlineStr"/>
      <c r="F274" t="inlineStr"/>
      <c r="G274" t="inlineStr"/>
      <c r="H274" t="inlineStr"/>
    </row>
    <row r="275">
      <c r="A275">
        <f>HYPERLINK("https://www.ebi.ac.uk/ols/ontologies/fbbt/terms?iri=http://purl.obolibrary.org/obo/FBbt_00050005","FBbt:00050005")</f>
        <v/>
      </c>
      <c r="B275" t="inlineStr">
        <is>
          <t>adult SLPa&amp;l1 lineage neuron</t>
        </is>
      </c>
      <c r="C275" t="inlineStr">
        <is>
          <t>SLPa_l1 lineage neuron</t>
        </is>
      </c>
      <c r="D275" t="inlineStr">
        <is>
          <t>Any neuron (FBbt:00005106) that is part of some adult brain (FBbt:00003624) and that develops from some neuroblast SLPa&amp;l1 (FBbt:00050003).</t>
        </is>
      </c>
      <c r="E275" t="inlineStr">
        <is>
          <t>Yu et al., 2013, Curr. Biol. 23(8): 633--643 (flybase.org/reports/FBrf0221412); Ito et al., 2013, Curr. Biol. 23(8): 644--655 (flybase.org/reports/FBrf0221438)</t>
        </is>
      </c>
      <c r="F275" t="inlineStr"/>
      <c r="G275" t="inlineStr"/>
      <c r="H275" t="inlineStr"/>
    </row>
    <row r="276">
      <c r="A276">
        <f>HYPERLINK("https://www.ebi.ac.uk/ols/ontologies/fbbt/terms?iri=http://purl.obolibrary.org/obo/FBbt_00100239","FBbt:00100239")</f>
        <v/>
      </c>
      <c r="B276" t="inlineStr">
        <is>
          <t>mushroom body vertical lobe arborizing neuron 4</t>
        </is>
      </c>
      <c r="C276" t="inlineStr">
        <is>
          <t>["MBON-alpha'2", 'MBON-13; MB-V4</t>
        </is>
      </c>
      <c r="D276" t="inlineStr">
        <is>
          <t>Cholinergic neuron whose cell body is located in the dorsal-most area of the subesophageal ganglion, ventromedial to the antennal lobe of the adult brain. The cell body fiber ascends through the median bundle to the level of the gamma lobe before making a steep lateral turn and forming extensive axonal terminals in the crepine, superior medial protocerebrum and a few terminals in the superior intermediate protocerebrum. The main fiber further extends towards the vertical lobe and forms extensive dendrites in the alpha' lobe slice 2. There are 2 neurons of this type in each hemisphere.</t>
        </is>
      </c>
      <c r="E276" t="inlineStr">
        <is>
          <t>Tanaka et al., 2008, J. Comp. Neurol. 508(5): 711--755 (flybase.org/reports/FBrf0205263); Aso et al., 2014, eLife 3: e04577 (flybase.org/reports/FBrf0227179)</t>
        </is>
      </c>
      <c r="F276" t="inlineStr"/>
      <c r="G276" t="inlineStr"/>
      <c r="H276" t="inlineStr"/>
    </row>
    <row r="277">
      <c r="A277">
        <f>HYPERLINK("https://www.ebi.ac.uk/ols/ontologies/fbbt/terms?iri=http://purl.obolibrary.org/obo/FBbt_00100236","FBbt:00100236")</f>
        <v/>
      </c>
      <c r="B277" t="inlineStr">
        <is>
          <t>mushroom body vertical lobe arborizing neuron 1</t>
        </is>
      </c>
      <c r="C277" t="inlineStr">
        <is>
          <t>["PPL1-alpha'2alpha2", 'PPL1-05; MB-V1; MB-V1</t>
        </is>
      </c>
      <c r="D277" t="inlineStr">
        <is>
          <t>A dopaminergic neuron of the PPL1 cluster whose cell body is located on the superior neuropils lateral to the calyx of each brain hemisphere of the adult brain. The cell body fiber projects anterior-medially and forms branches in the superior neuropils posterior to the vertical lobes. One of these branches projects to the opposite hemisphere and others project to the vertical lobe and form extensive arborizations in the middle segment of both the alpha and alpha' lobes (slice 2). There is one neuron of this type in each hemisphere.</t>
        </is>
      </c>
      <c r="E277" t="inlineStr">
        <is>
          <t>Tanaka et al., 2008, J. Comp. Neurol. 508(5): 711--755 (flybase.org/reports/FBrf0205263); Liu et al., 2012, Curr. Biol. 22(22): 2114--2123 (flybase.org/reports/FBrf0220041); Aso et al., 2014, eLife 3: e04577 (flybase.org/reports/FBrf0227179)</t>
        </is>
      </c>
      <c r="F277" t="inlineStr"/>
      <c r="G277" t="inlineStr"/>
      <c r="H277" t="inlineStr"/>
    </row>
    <row r="278">
      <c r="A278">
        <f>HYPERLINK("https://www.ebi.ac.uk/ols/ontologies/fbbt/terms?iri=http://purl.obolibrary.org/obo/FBbt_00050002","FBbt:00050002")</f>
        <v/>
      </c>
      <c r="B278" t="inlineStr">
        <is>
          <t>adult LHa2 lineage neuron</t>
        </is>
      </c>
      <c r="C278" t="inlineStr">
        <is>
          <t>None</t>
        </is>
      </c>
      <c r="D278" t="inlineStr">
        <is>
          <t>Any neuron (FBbt:00005106) that is part of some adult brain (FBbt:00003624) and that develops from some neuroblast LHa2 (FBbt:00050000).</t>
        </is>
      </c>
      <c r="E278" t="inlineStr">
        <is>
          <t>Yu et al., 2013, Curr. Biol. 23(8): 633--643 (flybase.org/reports/FBrf0221412); Ito et al., 2013, Curr. Biol. 23(8): 644--655 (flybase.org/reports/FBrf0221438)</t>
        </is>
      </c>
      <c r="F278" t="inlineStr"/>
      <c r="G278" t="inlineStr"/>
      <c r="H278" t="inlineStr"/>
    </row>
    <row r="279">
      <c r="A279">
        <f>HYPERLINK("https://www.ebi.ac.uk/ols/ontologies/fbbt/terms?iri=http://purl.obolibrary.org/obo/FBbt_00100237","FBbt:00100237")</f>
        <v/>
      </c>
      <c r="B279" t="inlineStr">
        <is>
          <t>mushroom body vertical lobe arborizing neuron 2</t>
        </is>
      </c>
      <c r="C279" t="inlineStr">
        <is>
          <t>MB-V2</t>
        </is>
      </c>
      <c r="D279" t="inlineStr">
        <is>
          <t>A neuron, whose cell body is located in the posterior dorsal superior lateral protocerebrum, lateral to the calyx of the adult brain. The cell body fiber runs near the calyx and forms arborizations in the superior neuropils posterior to the tip of the alpha lobe, before entering and arborizing in the tip of the vertical lobe. The fibers further turn ventrally and terminate on the alpha (MB-V2 alpha) or alpha' lobes (MB-V2 alpha'). Near the tip of these lobes, two fibers emerge: one of which projects posteriolaterally to the lateral horn, whereas the other projects medially to the contralateral middle superior lateral protocerebrum just posterior to the vertical lobes, the lateral horn and the superior intermediate protocerebrum (Tanaka et al., 2008, Sejourne et al., 2011, Aso et al., 2014). Contacts with Kenyon cells are visible in the apex of the alpha' lobe, the upper shaft of the alpha' and alpha lobes and a very fine region at the tip of the alpha-posterior lobes (Pech et al., 2013).</t>
        </is>
      </c>
      <c r="E279" t="inlineStr">
        <is>
          <t>Tanaka et al., 2008, J. Comp. Neurol. 508(5): 711--755 (flybase.org/reports/FBrf0205263); Séjourné et al., 2011, Nat. Neurosci. 14(7): 903--910 (flybase.org/reports/FBrf0214029); Pech et al., 2013, J. Comp. Neurol. 521(17): 3992--4026 (flybase.org/reports/FBrf0222995); Aso et al., 2014, eLife 3: e04577 (flybase.org/reports/FBrf0227179)</t>
        </is>
      </c>
      <c r="F279" t="inlineStr"/>
      <c r="G279" t="inlineStr"/>
      <c r="H279" t="inlineStr"/>
    </row>
    <row r="280">
      <c r="A280">
        <f>HYPERLINK("https://www.ebi.ac.uk/ols/ontologies/fbbt/terms?iri=http://purl.obolibrary.org/obo/FBbt_00100235","FBbt:00100235")</f>
        <v/>
      </c>
      <c r="B280" t="inlineStr">
        <is>
          <t>mushroom body medial lobe arborizing neuron 7</t>
        </is>
      </c>
      <c r="C280" t="inlineStr">
        <is>
          <t>MB-M7; MB-M7</t>
        </is>
      </c>
      <c r="D280" t="inlineStr">
        <is>
          <t>A neuron, which is part of a cluster of approximately two neurons per brain hemisphere, whose cell body is found in the inferior neuropils, anterior to the medial lobe of the adult brain. The cell body fibers project mediodorsally and bifurcate in the inferior neuropils. One branch arborizes here and the other runs ventromedially in the anterior surface of the medial lobe and innervates the gamma lobe.</t>
        </is>
      </c>
      <c r="E280" t="inlineStr">
        <is>
          <t>Tanaka et al., 2008, J. Comp. Neurol. 508(5): 711--755 (flybase.org/reports/FBrf0205263)</t>
        </is>
      </c>
      <c r="F280" t="inlineStr"/>
      <c r="G280" t="inlineStr"/>
      <c r="H280" t="inlineStr"/>
    </row>
    <row r="281">
      <c r="A281">
        <f>HYPERLINK("https://www.ebi.ac.uk/ols/ontologies/fbbt/terms?iri=http://purl.obolibrary.org/obo/FBbt_00050147","FBbt:00050147")</f>
        <v/>
      </c>
      <c r="B281" t="inlineStr">
        <is>
          <t>adult VLPl&amp;p2 lineage neuron</t>
        </is>
      </c>
      <c r="C281" t="inlineStr">
        <is>
          <t>adult VLPl_p2 lineage neuron</t>
        </is>
      </c>
      <c r="D281" t="inlineStr">
        <is>
          <t>Any neuron (FBbt:00005106) that is part of some adult brain (FBbt:00003624) and that develops from some neuroblast VLPl&amp;p2 (FBbt:00050145).</t>
        </is>
      </c>
      <c r="E281" t="inlineStr">
        <is>
          <t>Yu et al., 2013, Curr. Biol. 23(8): 633--643 (flybase.org/reports/FBrf0221412); Ito et al., 2013, Curr. Biol. 23(8): 644--655 (flybase.org/reports/FBrf0221438)</t>
        </is>
      </c>
      <c r="F281" t="inlineStr"/>
      <c r="G281" t="inlineStr"/>
      <c r="H281" t="inlineStr"/>
    </row>
    <row r="282">
      <c r="A282">
        <f>HYPERLINK("https://www.ebi.ac.uk/ols/ontologies/fbbt/terms?iri=http://purl.obolibrary.org/obo/FBbt_00050144","FBbt:00050144")</f>
        <v/>
      </c>
      <c r="B282" t="inlineStr">
        <is>
          <t>adult DM6 lineage neuron</t>
        </is>
      </c>
      <c r="C282" t="inlineStr">
        <is>
          <t>None</t>
        </is>
      </c>
      <c r="D282" t="inlineStr">
        <is>
          <t>Any neuron (FBbt:00005106) that is part of some adult brain (FBbt:00003624) and that develops from some neuroblast DM6 (FBbt:00050142).</t>
        </is>
      </c>
      <c r="E282" t="inlineStr">
        <is>
          <t>Viktorin et al., 2011, Dev. Biol. 356(2): 553--565 (flybase.org/reports/FBrf0214495); Yu et al., 2013, Curr. Biol. 23(8): 633--643 (flybase.org/reports/FBrf0221412); Ito et al., 2013, Curr. Biol. 23(8): 644--655 (flybase.org/reports/FBrf0221438)</t>
        </is>
      </c>
      <c r="F282" t="inlineStr"/>
      <c r="G282" t="inlineStr"/>
      <c r="H282" t="inlineStr"/>
    </row>
    <row r="283">
      <c r="A283">
        <f>HYPERLINK("https://www.ebi.ac.uk/ols/ontologies/fbbt/terms?iri=http://purl.obolibrary.org/obo/FBbt_00100232","FBbt:00100232")</f>
        <v/>
      </c>
      <c r="B283" t="inlineStr">
        <is>
          <t>mushroom body medial lobe arborizing neuron 4</t>
        </is>
      </c>
      <c r="C283" t="inlineStr">
        <is>
          <t>["M4beta'", 'MB-M4; MBON-03', "MBON-beta'2mp"]</t>
        </is>
      </c>
      <c r="D283" t="inlineStr">
        <is>
          <t>Glutamatergic neuron whose cell body is located on the superior neuropils of each hemisphere, anterior to the pars intercerebralis of the adult brain. The cell body fiber is sent ventrally towards the medial lobe, crossing the midline. Dendritic arborizations are found in the anterior and posterior layers of beta' lobe slice 2, with the main axon projecting to the crepine and superior medial protocerebrum (SMP), with a minor axon extending to the ipsilateral side. These neurons have synaptic connections with protocerebral anterior medial (PAM) cluster neurons in the SMP and in the tip of the mushroom body horizontal lobe (Owald et al., 2015). They are also involved in long-term memory formation and synapse onto the dorsal anterior lateral neurons of the protocerebrum (Wu et al., 2017). They are electrically synapsed by Kenyon cells via gap junctions (Liu et al., 2016).</t>
        </is>
      </c>
      <c r="E283" t="inlineStr">
        <is>
          <t>Tanaka et al., 2008, J. Comp. Neurol. 508(5): 711--755 (flybase.org/reports/FBrf0205263); Aso et al., 2014, eLife 3: e04577 (flybase.org/reports/FBrf0227179); Owald et al., 2015, Neuron 86(2): 417--427 (flybase.org/reports/FBrf0228212); Liu et al., 2016, eLife 5: e13238 (flybase.org/reports/FBrf0232676); Wu et al., 2017, Sci. Rep. 7(1): 7112 (flybase.org/reports/FBrf0236302)</t>
        </is>
      </c>
      <c r="F283" t="inlineStr"/>
      <c r="G283" t="inlineStr"/>
      <c r="H283" t="inlineStr"/>
    </row>
    <row r="284">
      <c r="A284">
        <f>HYPERLINK("https://www.ebi.ac.uk/ols/ontologies/fbbt/terms?iri=http://purl.obolibrary.org/obo/FBbt_00100378","FBbt:00100378")</f>
        <v/>
      </c>
      <c r="B284" t="inlineStr">
        <is>
          <t>adult antennal lobe projection neuron VM4 adPN</t>
        </is>
      </c>
      <c r="C284" t="inlineStr">
        <is>
          <t>VM4 adPN</t>
        </is>
      </c>
      <c r="D284" t="inlineStr">
        <is>
          <t>Antennal lobe projection neuron from the ad neuroblast lineage whose dendrites innervate only antennal lobe glomerulus VM4. This neuron is born from the sixth division of the neuroblast ALad1 (FBbt:00067346) during embryogenesis (Yu et al., 2010).</t>
        </is>
      </c>
      <c r="E284" t="inlineStr">
        <is>
          <t>Yu et al., 2010, PLoS Biol. 8(8): (flybase.org/reports/FBrf0211729)</t>
        </is>
      </c>
      <c r="F284" t="inlineStr"/>
      <c r="G284" t="inlineStr"/>
      <c r="H284" t="inlineStr"/>
    </row>
    <row r="285">
      <c r="A285">
        <f>HYPERLINK("https://www.ebi.ac.uk/ols/ontologies/fbbt/terms?iri=http://purl.obolibrary.org/obo/FBbt_00100379","FBbt:00100379")</f>
        <v/>
      </c>
      <c r="B285" t="inlineStr">
        <is>
          <t>adult antennal lobe projection neuron VM6+VP1 adPN</t>
        </is>
      </c>
      <c r="C285" t="inlineStr">
        <is>
          <t>VM6+VP1 adPN</t>
        </is>
      </c>
      <c r="D285" t="inlineStr">
        <is>
          <t>Antennal lobe projection neuron from the ad neuroblast lineage whose dendrites innervate only antennal lobe glomerulus VM6+VP1. This neuron is born from the seventh division of the neuroblast ALad1 (FBbt:00067346) during embryogenesis (Yu et al., 2010).</t>
        </is>
      </c>
      <c r="E285" t="inlineStr">
        <is>
          <t>Yu et al., 2010, PLoS Biol. 8(8): (flybase.org/reports/FBrf0211729)</t>
        </is>
      </c>
      <c r="F285" t="inlineStr"/>
      <c r="G285" t="inlineStr"/>
      <c r="H285" t="inlineStr"/>
    </row>
    <row r="286">
      <c r="A286">
        <f>HYPERLINK("https://www.ebi.ac.uk/ols/ontologies/fbbt/terms?iri=http://purl.obolibrary.org/obo/FBbt_00100233","FBbt:00100233")</f>
        <v/>
      </c>
      <c r="B286" t="inlineStr">
        <is>
          <t>mushroom body medial lobe arborizing neuron 5</t>
        </is>
      </c>
      <c r="C286" t="inlineStr">
        <is>
          <t>MB-M5</t>
        </is>
      </c>
      <c r="D286" t="inlineStr">
        <is>
          <t>A neuron, which is part of a cluster of approximately 5 neurons per brain hemisphere, whose cell body is located on the inferior neuropils, anterior to the vertical lobe of the adult brain. The cell body fiber travels medially and arborizes in the inferior neuropils above the middle part of the medial lobe. The main fibers then intermingle with the MB-M4 neurons and enter the medial lobe through the same pathway as MB-M4.</t>
        </is>
      </c>
      <c r="E286" t="inlineStr">
        <is>
          <t>Tanaka et al., 2008, J. Comp. Neurol. 508(5): 711--755 (flybase.org/reports/FBrf0205263)</t>
        </is>
      </c>
      <c r="F286" t="inlineStr"/>
      <c r="G286" t="inlineStr"/>
      <c r="H286" t="inlineStr"/>
    </row>
    <row r="287">
      <c r="A287">
        <f>HYPERLINK("https://www.ebi.ac.uk/ols/ontologies/fbbt/terms?iri=http://purl.obolibrary.org/obo/FBbt_00111452","FBbt:00111452")</f>
        <v/>
      </c>
      <c r="B287" t="inlineStr">
        <is>
          <t>PB slice 1-FB layers 1 to 4-bilateral IDFP HB-medial neuron</t>
        </is>
      </c>
      <c r="C287" t="inlineStr">
        <is>
          <t>PBL1-FBL1c,d,e,f,L2c,d&gt;IDFPL+R-HB-medial; PBR1-FBR1c,d,e,f,R2c,d&gt;IDFPL+R-HB-medial</t>
        </is>
      </c>
      <c r="D287" t="inlineStr">
        <is>
          <t>Small field neuron of the central complex with dendritic arbors in protocerebral bridge slice 1 and in the ipsilateral two segment pairs Z and Y (columns 1 and 2) of the fan-shaped body layers 1 to 4 (layers c to f), and axon terminals in the crepine (medial hammer body) of both hemispheres.</t>
        </is>
      </c>
      <c r="E287" t="inlineStr">
        <is>
          <t>Lin et al., 2013, Cell Rep. 3(5): 1739--1753 (flybase.org/reports/FBrf0221742)</t>
        </is>
      </c>
      <c r="F287" t="inlineStr"/>
      <c r="G287" t="inlineStr"/>
      <c r="H287" t="inlineStr"/>
    </row>
    <row r="288">
      <c r="A288">
        <f>HYPERLINK("https://www.ebi.ac.uk/ols/ontologies/fbbt/terms?iri=http://purl.obolibrary.org/obo/FBbt_00050096","FBbt:00050096")</f>
        <v/>
      </c>
      <c r="B288" t="inlineStr">
        <is>
          <t>adult ALad1 lineage neuron</t>
        </is>
      </c>
      <c r="C288" t="inlineStr">
        <is>
          <t>adult BAmv3 lineage neuron; adult adNB lineage neuron; adult adPN lineage neuron</t>
        </is>
      </c>
      <c r="D288" t="inlineStr">
        <is>
          <t>Any neuron (FBbt:00005106) that is part of some adult brain (FBbt:00003624) and that develops from some neuroblast ALad1 (FBbt:00067346).</t>
        </is>
      </c>
      <c r="E288" t="inlineStr">
        <is>
          <t>Yu et al., 2013, Curr. Biol. 23(8): 633--643 (flybase.org/reports/FBrf0221412); Ito et al., 2013, Curr. Biol. 23(8): 644--655 (flybase.org/reports/FBrf0221438)</t>
        </is>
      </c>
      <c r="F288" t="inlineStr"/>
      <c r="G288" t="inlineStr"/>
      <c r="H288" t="inlineStr"/>
    </row>
    <row r="289">
      <c r="A289">
        <f>HYPERLINK("https://www.ebi.ac.uk/ols/ontologies/fbbt/terms?iri=http://purl.obolibrary.org/obo/FBbt_00100506","FBbt:00100506")</f>
        <v/>
      </c>
      <c r="B289" t="inlineStr">
        <is>
          <t>adult brain perineurial glial cell</t>
        </is>
      </c>
      <c r="C289" t="inlineStr">
        <is>
          <t>None</t>
        </is>
      </c>
      <c r="D289" t="inlineStr">
        <is>
          <t>Small, oblong-shaped glial cell that is part of the (outer) perineurial sheath layer on the surface of the adult brain. It is located on top of the basal glial cell layer that is composed of the subperineurial glial cells.</t>
        </is>
      </c>
      <c r="E289" t="inlineStr">
        <is>
          <t>Awasaki et al., 2008, J. Neurosci. 28(51): 13742--13753 (flybase.org/reports/FBrf0206543); Edwards and Meinertzhagen, 2010, Prog. Neurobiol. 90(4): 471--497 (flybase.org/reports/FBrf0210316)</t>
        </is>
      </c>
      <c r="F289" t="inlineStr"/>
      <c r="G289" t="inlineStr"/>
      <c r="H289" t="inlineStr"/>
    </row>
    <row r="290">
      <c r="A290">
        <f>HYPERLINK("https://www.ebi.ac.uk/ols/ontologies/fbbt/terms?iri=http://purl.obolibrary.org/obo/FBbt_00050200","FBbt:00050200")</f>
        <v/>
      </c>
      <c r="B290" t="inlineStr">
        <is>
          <t>adult VLPp1 lineage neuron</t>
        </is>
      </c>
      <c r="C290" t="inlineStr">
        <is>
          <t>None</t>
        </is>
      </c>
      <c r="D290" t="inlineStr">
        <is>
          <t>Any neuron (FBbt:00005106) that is part of some adult brain (FBbt:00003624) and that develops from some neuroblast VLPp1 (FBbt:00050198).</t>
        </is>
      </c>
      <c r="E290" t="inlineStr">
        <is>
          <t>Yu et al., 2013, Curr. Biol. 23(8): 633--643 (flybase.org/reports/FBrf0221412); Ito et al., 2013, Curr. Biol. 23(8): 644--655 (flybase.org/reports/FBrf0221438)</t>
        </is>
      </c>
      <c r="F290" t="inlineStr"/>
      <c r="G290" t="inlineStr"/>
      <c r="H290" t="inlineStr"/>
    </row>
    <row r="291">
      <c r="A291">
        <f>HYPERLINK("https://www.ebi.ac.uk/ols/ontologies/fbbt/terms?iri=http://purl.obolibrary.org/obo/FBbt_00111451","FBbt:00111451")</f>
        <v/>
      </c>
      <c r="B291" t="inlineStr">
        <is>
          <t>PB 1 glomerulus-FB layers 1 to 4-bilateral IDFP HB-medial neuron</t>
        </is>
      </c>
      <c r="C291" t="inlineStr">
        <is>
          <t>PB1-glomerulus-FBc,d,e,f&gt;IDFPL+R-HB-medial</t>
        </is>
      </c>
      <c r="D291" t="inlineStr">
        <is>
          <t>Small field neuron of the central complex with dendritic arbors in one protocerebral bridge slice and in the ipsilateral two segment pairs of the fan-shaped body layers 1 to 4 (layers c to f), and axon terminals in the crepine (medial hammer body) of both hemispheres.</t>
        </is>
      </c>
      <c r="E291" t="inlineStr">
        <is>
          <t>Lin et al., 2013, Cell Rep. 3(5): 1739--1753 (flybase.org/reports/FBrf0221742)</t>
        </is>
      </c>
      <c r="F291" t="inlineStr"/>
      <c r="G291" t="inlineStr"/>
      <c r="H291" t="inlineStr"/>
    </row>
    <row r="292">
      <c r="A292">
        <f>HYPERLINK("https://www.ebi.ac.uk/ols/ontologies/fbbt/terms?iri=http://purl.obolibrary.org/obo/FBbt_00100507","FBbt:00100507")</f>
        <v/>
      </c>
      <c r="B292" t="inlineStr">
        <is>
          <t>adult brain subperineurial glial cell</t>
        </is>
      </c>
      <c r="C292" t="inlineStr">
        <is>
          <t>adult brain subperineurial surface associated glial cell; adult brain subperineurial glia; adult brain basal glial cell</t>
        </is>
      </c>
      <c r="D292" t="inlineStr">
        <is>
          <t>Large, sheet-like glial cell that is a component of the basal glial layer of the adult brain surface. It is located below the apical glial layer that is composed of the perineurial glial cells.</t>
        </is>
      </c>
      <c r="E292" t="inlineStr">
        <is>
          <t>Awasaki et al., 2008, J. Neurosci. 28(51): 13742--13753 (flybase.org/reports/FBrf0206543); Edwards and Meinertzhagen, 2010, Prog. Neurobiol. 90(4): 471--497 (flybase.org/reports/FBrf0210316)</t>
        </is>
      </c>
      <c r="F292" t="inlineStr"/>
      <c r="G292" t="inlineStr"/>
      <c r="H292" t="inlineStr"/>
    </row>
    <row r="293">
      <c r="A293">
        <f>HYPERLINK("https://www.ebi.ac.uk/ols/ontologies/fbbt/terms?iri=http://purl.obolibrary.org/obo/FBbt_00050094","FBbt:00050094")</f>
        <v/>
      </c>
      <c r="B293" t="inlineStr">
        <is>
          <t>adult PSp3 lineage neuron</t>
        </is>
      </c>
      <c r="C293" t="inlineStr">
        <is>
          <t>None</t>
        </is>
      </c>
      <c r="D293" t="inlineStr">
        <is>
          <t>Any neuron (FBbt:00005106) that is part of some adult brain (FBbt:00003624) and that develops from some neuroblast PSp3 (FBbt:00050092).</t>
        </is>
      </c>
      <c r="E293" t="inlineStr">
        <is>
          <t>Yu et al., 2013, Curr. Biol. 23(8): 633--643 (flybase.org/reports/FBrf0221412); Ito et al., 2013, Curr. Biol. 23(8): 644--655 (flybase.org/reports/FBrf0221438)</t>
        </is>
      </c>
      <c r="F293" t="inlineStr"/>
      <c r="G293" t="inlineStr"/>
      <c r="H293" t="inlineStr"/>
    </row>
    <row r="294">
      <c r="A294">
        <f>HYPERLINK("https://www.ebi.ac.uk/ols/ontologies/fbbt/terms?iri=http://purl.obolibrary.org/obo/FBbt_00111450","FBbt:00111450")</f>
        <v/>
      </c>
      <c r="B294" t="inlineStr">
        <is>
          <t>PB slice 7-FB layers 1 to 4-IDFP HB-medial neuron</t>
        </is>
      </c>
      <c r="C294" t="inlineStr">
        <is>
          <t>PBL6-FBL4c,d,e,f,L3c,d&gt;IDFPR-HB-medial; PBR6-FBR4c,d,e,f,R3c,d&gt;IDFPL-HB-medial</t>
        </is>
      </c>
      <c r="D294" t="inlineStr">
        <is>
          <t>Small field neuron of the central complex with dendritic arbors in protocerebral bridge slice 7 and in the ipsilateral segment pairs X and W (columns 3 and 4) of the fan-shaped body layers 1 to 4 (layers c to f), and axon terminals in the contralateral crepine (medial hammer body).</t>
        </is>
      </c>
      <c r="E294" t="inlineStr">
        <is>
          <t>Lin et al., 2013, Cell Rep. 3(5): 1739--1753 (flybase.org/reports/FBrf0221742)</t>
        </is>
      </c>
      <c r="F294" t="inlineStr"/>
      <c r="G294" t="inlineStr"/>
      <c r="H294" t="inlineStr"/>
    </row>
    <row r="295">
      <c r="A295">
        <f>HYPERLINK("https://www.ebi.ac.uk/ols/ontologies/fbbt/terms?iri=http://purl.obolibrary.org/obo/FBbt_00050008","FBbt:00050008")</f>
        <v/>
      </c>
      <c r="B295" t="inlineStr">
        <is>
          <t>adult SLPpl3 lineage neuron</t>
        </is>
      </c>
      <c r="C295" t="inlineStr">
        <is>
          <t>None</t>
        </is>
      </c>
      <c r="D295" t="inlineStr">
        <is>
          <t>Any neuron (FBbt:00005106) that is part of some adult brain (FBbt:00003624) and that develops from some neuroblast SLPpl3 (FBbt:00050006).</t>
        </is>
      </c>
      <c r="E295" t="inlineStr">
        <is>
          <t>Yu et al., 2013, Curr. Biol. 23(8): 633--643 (flybase.org/reports/FBrf0221412)</t>
        </is>
      </c>
      <c r="F295" t="inlineStr"/>
      <c r="G295" t="inlineStr"/>
      <c r="H295" t="inlineStr"/>
    </row>
    <row r="296">
      <c r="A296">
        <f>HYPERLINK("https://www.ebi.ac.uk/ols/ontologies/fbbt/terms?iri=http://purl.obolibrary.org/obo/FBbt_00111456","FBbt:00111456")</f>
        <v/>
      </c>
      <c r="B296" t="inlineStr">
        <is>
          <t>PB slice 8-EB posterior-IDFP DSB neuron</t>
        </is>
      </c>
      <c r="C296" t="inlineStr">
        <is>
          <t>PBL8-EBR8P,L8P-IDFPR-DSB; PBR8-EBR8P,L8P-IDFPL-DSB</t>
        </is>
      </c>
      <c r="D296" t="inlineStr">
        <is>
          <t>Interneuron that connects the protocerebral bridge slice 1, both slices 8 of the posterior ring of the ellipsoid body and the contralateral dorsal gall (dorsal spindle body).</t>
        </is>
      </c>
      <c r="E296" t="inlineStr">
        <is>
          <t>Lin et al., 2013, Cell Rep. 3(5): 1739--1753 (flybase.org/reports/FBrf0221742); Ito et al., 2014, Neuron 81(4): 755--765 (flybase.org/reports/FBrf0224194); Wolff et al., 2015, J. Comp. Neurol. 523(7): 997--1037 (flybase.org/reports/FBrf0227801)</t>
        </is>
      </c>
      <c r="F296" t="inlineStr"/>
      <c r="G296" t="inlineStr"/>
      <c r="H296" t="inlineStr"/>
    </row>
    <row r="297">
      <c r="A297">
        <f>HYPERLINK("https://www.ebi.ac.uk/ols/ontologies/fbbt/terms?iri=http://purl.obolibrary.org/obo/FBbt_00111455","FBbt:00111455")</f>
        <v/>
      </c>
      <c r="B297" t="inlineStr">
        <is>
          <t>PB slice 1-EB posterior-IDFP DSB neuron</t>
        </is>
      </c>
      <c r="C297" t="inlineStr">
        <is>
          <t>PBL1-EBR8P,L8P-IDFPR-DSB</t>
        </is>
      </c>
      <c r="D297" t="inlineStr">
        <is>
          <t>Interneuron that connects the protocerebral bridge slice 1, both slices 8 of the posterior ring of the ellipsoid body and the contralateral dorsal gall (dorsal spindle body).</t>
        </is>
      </c>
      <c r="E297" t="inlineStr">
        <is>
          <t>Lin et al., 2013, Cell Rep. 3(5): 1739--1753 (flybase.org/reports/FBrf0221742); Ito et al., 2014, Neuron 81(4): 755--765 (flybase.org/reports/FBrf0224194); Wolff et al., 2015, J. Comp. Neurol. 523(7): 997--1037 (flybase.org/reports/FBrf0227801)</t>
        </is>
      </c>
      <c r="F297" t="inlineStr"/>
      <c r="G297" t="inlineStr"/>
      <c r="H297" t="inlineStr"/>
    </row>
    <row r="298">
      <c r="A298">
        <f>HYPERLINK("https://www.ebi.ac.uk/ols/ontologies/fbbt/terms?iri=http://purl.obolibrary.org/obo/FBbt_00111454","FBbt:00111454")</f>
        <v/>
      </c>
      <c r="B298" t="inlineStr">
        <is>
          <t>PB 1 glomerulus-EB posterior-IDFP DSB neuron</t>
        </is>
      </c>
      <c r="C298" t="inlineStr">
        <is>
          <t>PB1-glomerulus-EBP-IDFP-DSB</t>
        </is>
      </c>
      <c r="D298" t="inlineStr">
        <is>
          <t>Interneuron that connects one slice of the protocerebral bridge, two slices of the posterior ring of the ellipsoid body and the contralateral dorsal gall (dorsal spindle body).</t>
        </is>
      </c>
      <c r="E298" t="inlineStr">
        <is>
          <t>Lin et al., 2013, Cell Rep. 3(5): 1739--1753 (flybase.org/reports/FBrf0221742); Ito et al., 2014, Neuron 81(4): 755--765 (flybase.org/reports/FBrf0224194); Wolff et al., 2015, J. Comp. Neurol. 523(7): 997--1037 (flybase.org/reports/FBrf0227801)</t>
        </is>
      </c>
      <c r="F298" t="inlineStr"/>
      <c r="G298" t="inlineStr"/>
      <c r="H298" t="inlineStr"/>
    </row>
    <row r="299">
      <c r="A299">
        <f>HYPERLINK("https://www.ebi.ac.uk/ols/ontologies/fbbt/terms?iri=http://purl.obolibrary.org/obo/FBbt_00047938","FBbt:00047938")</f>
        <v/>
      </c>
      <c r="B299" t="inlineStr">
        <is>
          <t>antennal lobe VUMa5 neuron</t>
        </is>
      </c>
      <c r="C299" t="inlineStr">
        <is>
          <t>AL-VUMa5</t>
        </is>
      </c>
      <c r="D299" t="inlineStr">
        <is>
          <t>Ventral unpaired medial neuron of the adult with a cell body in the ventralmost rind of the middle area of the gnathal ganglion. The cell body fiber runs dorsally and bifurcates just below the esophagus. One fiber turns anteriorly toward the antennal lobe (AL), whereas the other crosses the midline, then mirrors the pathway of the ipsilateral fiber. It arborizes in the dorsal area of the inferior posterior slope at the level of the great commissure. It then runs anteriorly and enters the AL via the broad root. In the AL, it arborizes in all the glomeruli in a nonglomerular manner.</t>
        </is>
      </c>
      <c r="E299" t="inlineStr">
        <is>
          <t>Tanaka et al., 2012, J. Comp. Neurol. 520(18): 4067--4130 (flybase.org/reports/FBrf0219809)</t>
        </is>
      </c>
      <c r="F299" t="inlineStr"/>
      <c r="G299" t="inlineStr"/>
      <c r="H299" t="inlineStr"/>
    </row>
    <row r="300">
      <c r="A300">
        <f>HYPERLINK("https://www.ebi.ac.uk/ols/ontologies/fbbt/terms?iri=http://purl.obolibrary.org/obo/FBbt_00111453","FBbt:00111453")</f>
        <v/>
      </c>
      <c r="B300" t="inlineStr">
        <is>
          <t>PB slice 3-FB layers 1 to 4-bilateral IDFP HB-medial neuron</t>
        </is>
      </c>
      <c r="C300" t="inlineStr">
        <is>
          <t>PBR3-FBR4c,d,e,f,R3c,d&gt;IDFPL+R-HB-medial; PBL3-FBL4c,d,e,f,L3c,d&gt;IDFPL+R-HB-medial</t>
        </is>
      </c>
      <c r="D300" t="inlineStr">
        <is>
          <t>Small field neuron of the central complex with dendritic arbors in protocerebral bridge slice 3 and in the ipsilateral two segment pairs X and W (columns 3 and 4) of the fan-shaped body layers 1 to 4 (layers c to f), and axon terminals in the crepine (medial hammer body) of both hemispheres.</t>
        </is>
      </c>
      <c r="E300" t="inlineStr">
        <is>
          <t>Lin et al., 2013, Cell Rep. 3(5): 1739--1753 (flybase.org/reports/FBrf0221742)</t>
        </is>
      </c>
      <c r="F300" t="inlineStr"/>
      <c r="G300" t="inlineStr"/>
      <c r="H300" t="inlineStr"/>
    </row>
    <row r="301">
      <c r="A301">
        <f>HYPERLINK("https://www.ebi.ac.uk/ols/ontologies/fbbt/terms?iri=http://purl.obolibrary.org/obo/FBbt_00050091","FBbt:00050091")</f>
        <v/>
      </c>
      <c r="B301" t="inlineStr">
        <is>
          <t>adult SLPpm3 lineage neuron</t>
        </is>
      </c>
      <c r="C301" t="inlineStr">
        <is>
          <t>None</t>
        </is>
      </c>
      <c r="D301" t="inlineStr">
        <is>
          <t>Any neuron (FBbt:00005106) that is part of some adult brain (FBbt:00003624) and that develops from some neuroblast SLPpm3 (FBbt:00050089).</t>
        </is>
      </c>
      <c r="E301" t="inlineStr">
        <is>
          <t>Yu et al., 2013, Curr. Biol. 23(8): 633--643 (flybase.org/reports/FBrf0221412)</t>
        </is>
      </c>
      <c r="F301" t="inlineStr"/>
      <c r="G301" t="inlineStr"/>
      <c r="H301" t="inlineStr"/>
    </row>
    <row r="302">
      <c r="A302">
        <f>HYPERLINK("https://www.ebi.ac.uk/ols/ontologies/fbbt/terms?iri=http://purl.obolibrary.org/obo/FBbt_00050209","FBbt:00050209")</f>
        <v/>
      </c>
      <c r="B302" t="inlineStr">
        <is>
          <t>adult VLPd&amp;p1 lineage neuron</t>
        </is>
      </c>
      <c r="C302" t="inlineStr">
        <is>
          <t>adult VLPd_p1 lineage neuron</t>
        </is>
      </c>
      <c r="D302" t="inlineStr">
        <is>
          <t>Any neuron (FBbt:00005106) that is part of some adult brain (FBbt:00003624) and that develops from some neuroblast VLPd&amp;p1 (FBbt:00050207).</t>
        </is>
      </c>
      <c r="E302" t="inlineStr">
        <is>
          <t>Yu et al., 2013, Curr. Biol. 23(8): 633--643 (flybase.org/reports/FBrf0221412); Ito et al., 2013, Curr. Biol. 23(8): 644--655 (flybase.org/reports/FBrf0221438)</t>
        </is>
      </c>
      <c r="F302" t="inlineStr"/>
      <c r="G302" t="inlineStr"/>
      <c r="H302" t="inlineStr"/>
    </row>
    <row r="303">
      <c r="A303">
        <f>HYPERLINK("https://www.ebi.ac.uk/ols/ontologies/fbbt/terms?iri=http://purl.obolibrary.org/obo/FBbt_00047933","FBbt:00047933")</f>
        <v/>
      </c>
      <c r="B303" t="inlineStr">
        <is>
          <t>antennal lobe median bundle neuron 1</t>
        </is>
      </c>
      <c r="C303" t="inlineStr">
        <is>
          <t>AL-MBDL1</t>
        </is>
      </c>
      <c r="D303" t="inlineStr">
        <is>
          <t>Antennal lobe associated neuron that fasciculates with the median bundle. From its cell body, in the posterior rind at the lateral side of the mushroom body calyx, it innervates the anterior superior lateral protocerebrum, superior intermediate protocerebrum, anterior superior medial protocerebrum and crepine before joining the median bundle. It branches near the antennal lobe to arborize bilaterally in the antennal lobe, innervating all glomeruli in a non-glomerular pattern.</t>
        </is>
      </c>
      <c r="E303" t="inlineStr">
        <is>
          <t>Tanaka et al., 2012, J. Comp. Neurol. 520(18): 4067--4130 (flybase.org/reports/FBrf0219809)</t>
        </is>
      </c>
      <c r="F303" t="inlineStr"/>
      <c r="G303" t="inlineStr"/>
      <c r="H303" t="inlineStr"/>
    </row>
    <row r="304">
      <c r="A304">
        <f>HYPERLINK("https://www.ebi.ac.uk/ols/ontologies/fbbt/terms?iri=http://purl.obolibrary.org/obo/FBbt_00050206","FBbt:00050206")</f>
        <v/>
      </c>
      <c r="B304" t="inlineStr">
        <is>
          <t>adult CLp1 lineage neuron</t>
        </is>
      </c>
      <c r="C304" t="inlineStr">
        <is>
          <t>None</t>
        </is>
      </c>
      <c r="D304" t="inlineStr">
        <is>
          <t>Any neuron (FBbt:00005106) that is part of some adult brain (FBbt:00003624) and that develops from some neuroblast CLp1 (FBbt:00050204).</t>
        </is>
      </c>
      <c r="E304" t="inlineStr">
        <is>
          <t>Yu et al., 2013, Curr. Biol. 23(8): 633--643 (flybase.org/reports/FBrf0221412); Ito et al., 2013, Curr. Biol. 23(8): 644--655 (flybase.org/reports/FBrf0221438)</t>
        </is>
      </c>
      <c r="F304" t="inlineStr"/>
      <c r="G304" t="inlineStr"/>
      <c r="H304" t="inlineStr"/>
    </row>
    <row r="305">
      <c r="A305">
        <f>HYPERLINK("https://www.ebi.ac.uk/ols/ontologies/fbbt/terms?iri=http://purl.obolibrary.org/obo/FBbt_00110665","FBbt:00110665")</f>
        <v/>
      </c>
      <c r="B305" t="inlineStr">
        <is>
          <t>antennal mechanosensory and motor center B2 projection neuron</t>
        </is>
      </c>
      <c r="C305" t="inlineStr">
        <is>
          <t>AMMC-B2 neuron</t>
        </is>
      </c>
      <c r="D305" t="inlineStr">
        <is>
          <t>Projection neuron whose cell body is located ventrally to the antennal mechanosensory and motor center (AMMC). The primary neurite extends posteriomedially, forming postsynaptic terminals in the medial surface of the ipsilateral zone B and zone E. It then crosses the midline fasciculating with the inferior AMMC commissure and extends into the medial side of AMMC zone B, forming presynaptic terminals. It is a GABAergic neuron.</t>
        </is>
      </c>
      <c r="E305" t="inlineStr">
        <is>
          <t>Kamikouchi et al., 2009, Nature 458(7235): 165--171 (flybase.org/reports/FBrf0207518); Tootoonian et al., 2012, J. Neurosci. 32(3): 787--798 (flybase.org/reports/FBrf0217257); Matsuo et al., 2016, J. Comp. Neurol. 524(6): 1099--1164 (flybase.org/reports/FBrf0230862)</t>
        </is>
      </c>
      <c r="F305" t="inlineStr"/>
      <c r="G305" t="inlineStr"/>
      <c r="H305" t="inlineStr"/>
    </row>
    <row r="306">
      <c r="A306">
        <f>HYPERLINK("https://www.ebi.ac.uk/ols/ontologies/fbbt/terms?iri=http://purl.obolibrary.org/obo/FBbt_00050203","FBbt:00050203")</f>
        <v/>
      </c>
      <c r="B306" t="inlineStr">
        <is>
          <t>adult SMPad2 lineage neuron</t>
        </is>
      </c>
      <c r="C306" t="inlineStr">
        <is>
          <t>None</t>
        </is>
      </c>
      <c r="D306" t="inlineStr">
        <is>
          <t>Any neuron (FBbt:00005106) that is part of some adult brain (FBbt:00003624) and that develops from some neuroblast SMPad2 (FBbt:00050201).</t>
        </is>
      </c>
      <c r="E306" t="inlineStr">
        <is>
          <t>Yu et al., 2013, Curr. Biol. 23(8): 633--643 (flybase.org/reports/FBrf0221412); Ito et al., 2013, Curr. Biol. 23(8): 644--655 (flybase.org/reports/FBrf0221438)</t>
        </is>
      </c>
      <c r="F306" t="inlineStr"/>
      <c r="G306" t="inlineStr"/>
      <c r="H306" t="inlineStr"/>
    </row>
    <row r="307">
      <c r="A307">
        <f>HYPERLINK("https://www.ebi.ac.uk/ols/ontologies/fbbt/terms?iri=http://purl.obolibrary.org/obo/FBbt_00050099","FBbt:00050099")</f>
        <v/>
      </c>
      <c r="B307" t="inlineStr">
        <is>
          <t>adult LHd1 lineage neuron</t>
        </is>
      </c>
      <c r="C307" t="inlineStr">
        <is>
          <t>aSP3a neuron</t>
        </is>
      </c>
      <c r="D307" t="inlineStr">
        <is>
          <t>Any neuron (FBbt:00005106) that is part of some adult brain (FBbt:00003624) and that develops from some neuroblast LHd1 (FBbt:00050097).</t>
        </is>
      </c>
      <c r="E307" t="inlineStr">
        <is>
          <t>Yu et al., 2013, Curr. Biol. 23(8): 633--643 (flybase.org/reports/FBrf0221412); Ito et al., 2013, Curr. Biol. 23(8): 644--655 (flybase.org/reports/FBrf0221438)</t>
        </is>
      </c>
      <c r="F307" t="inlineStr"/>
      <c r="G307" t="inlineStr"/>
      <c r="H307" t="inlineStr"/>
    </row>
    <row r="308">
      <c r="A308">
        <f>HYPERLINK("https://www.ebi.ac.uk/ols/ontologies/fbbt/terms?iri=http://purl.obolibrary.org/obo/FBbt_00050156","FBbt:00050156")</f>
        <v/>
      </c>
      <c r="B308" t="inlineStr">
        <is>
          <t>adult SLPal4 lineage neuron</t>
        </is>
      </c>
      <c r="C308" t="inlineStr">
        <is>
          <t>None</t>
        </is>
      </c>
      <c r="D308" t="inlineStr">
        <is>
          <t>Any neuron (FBbt:00005106) that is part of some adult brain (FBbt:00003624) and that develops from some neuroblast SLPal4 (FBbt:00050154).</t>
        </is>
      </c>
      <c r="E308" t="inlineStr">
        <is>
          <t>Yu et al., 2013, Curr. Biol. 23(8): 633--643 (flybase.org/reports/FBrf0221412)</t>
        </is>
      </c>
      <c r="F308" t="inlineStr"/>
      <c r="G308" t="inlineStr"/>
      <c r="H308" t="inlineStr"/>
    </row>
    <row r="309">
      <c r="A309">
        <f>HYPERLINK("https://www.ebi.ac.uk/ols/ontologies/fbbt/terms?iri=http://purl.obolibrary.org/obo/FBbt_00050153","FBbt:00050153")</f>
        <v/>
      </c>
      <c r="B309" t="inlineStr">
        <is>
          <t>adult SLPal3 lineage neuron</t>
        </is>
      </c>
      <c r="C309" t="inlineStr">
        <is>
          <t>None</t>
        </is>
      </c>
      <c r="D309" t="inlineStr">
        <is>
          <t>Any neuron (FBbt:00005106) that is part of some adult brain (FBbt:00003624) and that develops from some neuroblast SLPal3 (FBbt:00050151).</t>
        </is>
      </c>
      <c r="E309" t="inlineStr">
        <is>
          <t>Yu et al., 2013, Curr. Biol. 23(8): 633--643 (flybase.org/reports/FBrf0221412); Ito et al., 2013, Curr. Biol. 23(8): 644--655 (flybase.org/reports/FBrf0221438)</t>
        </is>
      </c>
      <c r="F309" t="inlineStr"/>
      <c r="G309" t="inlineStr"/>
      <c r="H309" t="inlineStr"/>
    </row>
    <row r="310">
      <c r="A310">
        <f>HYPERLINK("https://www.ebi.ac.uk/ols/ontologies/fbbt/terms?iri=http://purl.obolibrary.org/obo/FBbt_00050150","FBbt:00050150")</f>
        <v/>
      </c>
      <c r="B310" t="inlineStr">
        <is>
          <t>adult CREa1 (female) lineage neuron</t>
        </is>
      </c>
      <c r="C310" t="inlineStr">
        <is>
          <t>adult CREa1f lineage neuron</t>
        </is>
      </c>
      <c r="D310" t="inlineStr">
        <is>
          <t>Any neuron (FBbt:00005106) that is part of some adult brain (FBbt:00003624) and that develops from some neuroblast CREa1 (female) (FBbt:00050148).</t>
        </is>
      </c>
      <c r="E310" t="inlineStr">
        <is>
          <t>Yu et al., 2013, Curr. Biol. 23(8): 633--643 (flybase.org/reports/FBrf0221412); Ito et al., 2013, Curr. Biol. 23(8): 644--655 (flybase.org/reports/FBrf0221438)</t>
        </is>
      </c>
      <c r="F310" t="inlineStr"/>
      <c r="G310" t="inlineStr"/>
      <c r="H310" t="inlineStr"/>
    </row>
    <row r="311">
      <c r="A311">
        <f>HYPERLINK("https://www.ebi.ac.uk/ols/ontologies/fbbt/terms?iri=http://purl.obolibrary.org/obo/FBbt_00111514","FBbt:00111514")</f>
        <v/>
      </c>
      <c r="B311" t="inlineStr">
        <is>
          <t>SPS-PB neuron</t>
        </is>
      </c>
      <c r="C311" t="inlineStr">
        <is>
          <t>PBG1/2-9.b-SPSi.s neuron</t>
        </is>
      </c>
      <c r="D311" t="inlineStr">
        <is>
          <t>Interneuron that has dendritic arborizations in the ipsi- or contralateral superior posterior slope and axon terminals in the ipsi- or contralateral protocerebral bridge, except for glomerulus 1 which is innervated only rarely.</t>
        </is>
      </c>
      <c r="E311" t="inlineStr">
        <is>
          <t>Wolff et al., 2015, J. Comp. Neurol. 523(7): 997--1037 (flybase.org/reports/FBrf0227801)</t>
        </is>
      </c>
      <c r="F311" t="inlineStr"/>
      <c r="G311" t="inlineStr"/>
      <c r="H311" t="inlineStr"/>
    </row>
    <row r="312">
      <c r="A312">
        <f>HYPERLINK("https://www.ebi.ac.uk/ols/ontologies/fbbt/terms?iri=http://purl.obolibrary.org/obo/FBbt_00050017","FBbt:00050017")</f>
        <v/>
      </c>
      <c r="B312" t="inlineStr">
        <is>
          <t>adult WEDa2 lineage neuron</t>
        </is>
      </c>
      <c r="C312" t="inlineStr">
        <is>
          <t>None</t>
        </is>
      </c>
      <c r="D312" t="inlineStr">
        <is>
          <t>Any neuron (FBbt:00005106) that is part of some adult brain (FBbt:00003624) and that develops from some neuroblast WEDa2 (FBbt:00050015).</t>
        </is>
      </c>
      <c r="E312" t="inlineStr">
        <is>
          <t>Yu et al., 2013, Curr. Biol. 23(8): 633--643 (flybase.org/reports/FBrf0221412); Ito et al., 2013, Curr. Biol. 23(8): 644--655 (flybase.org/reports/FBrf0221438)</t>
        </is>
      </c>
      <c r="F312" t="inlineStr"/>
      <c r="G312" t="inlineStr"/>
      <c r="H312" t="inlineStr"/>
    </row>
    <row r="313">
      <c r="A313">
        <f>HYPERLINK("https://www.ebi.ac.uk/ols/ontologies/fbbt/terms?iri=http://purl.obolibrary.org/obo/FBbt_00005132","FBbt:00005132")</f>
        <v/>
      </c>
      <c r="B313" t="inlineStr">
        <is>
          <t>dorso-lateral dopaminergic neuron</t>
        </is>
      </c>
      <c r="C313" t="inlineStr">
        <is>
          <t>dorso-lateral dopamine neuron</t>
        </is>
      </c>
      <c r="D313" t="inlineStr">
        <is>
          <t>Dopaminergic neuron of the dorso-lateral cluster of the adult brain.</t>
        </is>
      </c>
      <c r="E313" t="inlineStr">
        <is>
          <t>Li et al., 2000, Curr. Biol. 10(4): 211--214 (flybase.org/reports/FBrf0127196)</t>
        </is>
      </c>
      <c r="F313" t="inlineStr"/>
      <c r="G313" t="inlineStr"/>
      <c r="H313" t="inlineStr"/>
    </row>
    <row r="314">
      <c r="A314">
        <f>HYPERLINK("https://www.ebi.ac.uk/ols/ontologies/fbbt/terms?iri=http://purl.obolibrary.org/obo/FBbt_00111459","FBbt:00111459")</f>
        <v/>
      </c>
      <c r="B314" t="inlineStr">
        <is>
          <t>PB slice 3-FB layers 3 and 6-ventral gall neuron</t>
        </is>
      </c>
      <c r="C314" t="inlineStr">
        <is>
          <t>PBR3-FBL2b,d&gt;IDFPL-DSB</t>
        </is>
      </c>
      <c r="D314" t="inlineStr">
        <is>
          <t>Small field neuron of the central complex with arborizations in protocerebral bridge slice 3, segment pair Y (column 2) and layers 3 and 6 of fan-shaped body and in the contralateral ventral gall (ventral spindle body of IDFP).</t>
        </is>
      </c>
      <c r="E314" t="inlineStr">
        <is>
          <t>Lin et al., 2013, Cell Rep. 3(5): 1739--1753 (flybase.org/reports/FBrf0221742); Wolff et al., 2015, J. Comp. Neurol. 523(7): 997--1037 (flybase.org/reports/FBrf0227801)</t>
        </is>
      </c>
      <c r="F314" t="inlineStr"/>
      <c r="G314" t="inlineStr"/>
      <c r="H314" t="inlineStr"/>
    </row>
    <row r="315">
      <c r="A315">
        <f>HYPERLINK("https://www.ebi.ac.uk/ols/ontologies/fbbt/terms?iri=http://purl.obolibrary.org/obo/FBbt_00111458","FBbt:00111458")</f>
        <v/>
      </c>
      <c r="B315" t="inlineStr">
        <is>
          <t>PB slice 1-FB layers 3 and 6-ventral gall neuron</t>
        </is>
      </c>
      <c r="C315" t="inlineStr">
        <is>
          <t>PBR1,L1-FBL4b,d&gt;IDFPL-DSB</t>
        </is>
      </c>
      <c r="D315" t="inlineStr">
        <is>
          <t>Small field neuron of the central complex with arborizations in both protocerebral bridge slices 1, segment pair W (column 4) and layers 3 and 6 of fan-shaped body and in the contralateral ventral gall (ventral spindle body of IDFP).</t>
        </is>
      </c>
      <c r="E315" t="inlineStr">
        <is>
          <t>Lin et al., 2013, Cell Rep. 3(5): 1739--1753 (flybase.org/reports/FBrf0221742); Wolff et al., 2015, J. Comp. Neurol. 523(7): 997--1037 (flybase.org/reports/FBrf0227801)</t>
        </is>
      </c>
      <c r="F315" t="inlineStr"/>
      <c r="G315" t="inlineStr"/>
      <c r="H315" t="inlineStr"/>
    </row>
    <row r="316">
      <c r="A316">
        <f>HYPERLINK("https://www.ebi.ac.uk/ols/ontologies/fbbt/terms?iri=http://purl.obolibrary.org/obo/FBbt_00111457","FBbt:00111457")</f>
        <v/>
      </c>
      <c r="B316" t="inlineStr">
        <is>
          <t>PB 1 glomerulus-FB layers 3 and 6-ventral gall neuron</t>
        </is>
      </c>
      <c r="C316" t="inlineStr">
        <is>
          <t>PB.s-FBl6.b.l3.s-Vga-s.b neuron; PB1-glomerulus-FBb,d&gt;IDFP-DSB</t>
        </is>
      </c>
      <c r="D316" t="inlineStr">
        <is>
          <t>Small field neuron of the central complex with arborization in a single glomerulus of the protocerebral bridge, fan-shaped body layers 3 and 6 and in the contralateral ventral gall (ventral spindle body of IDFP).</t>
        </is>
      </c>
      <c r="E316" t="inlineStr">
        <is>
          <t>Lin et al., 2013, Cell Rep. 3(5): 1739--1753 (flybase.org/reports/FBrf0221742); Wolff et al., 2015, J. Comp. Neurol. 523(7): 997--1037 (flybase.org/reports/FBrf0227801)</t>
        </is>
      </c>
      <c r="F316" t="inlineStr"/>
      <c r="G316" t="inlineStr"/>
      <c r="H316" t="inlineStr"/>
    </row>
    <row r="317">
      <c r="A317">
        <f>HYPERLINK("https://www.ebi.ac.uk/ols/ontologies/fbbt/terms?iri=http://purl.obolibrary.org/obo/FBbt_00050159","FBbt:00050159")</f>
        <v/>
      </c>
      <c r="B317" t="inlineStr">
        <is>
          <t>adult VLPa1 lineage neuron</t>
        </is>
      </c>
      <c r="C317" t="inlineStr">
        <is>
          <t>None</t>
        </is>
      </c>
      <c r="D317" t="inlineStr">
        <is>
          <t>Any neuron (FBbt:00005106) that is part of some adult brain (FBbt:00003624) and that develops from some neuroblast VLPa1 (FBbt:00050157).</t>
        </is>
      </c>
      <c r="E317" t="inlineStr">
        <is>
          <t>Yu et al., 2013, Curr. Biol. 23(8): 633--643 (flybase.org/reports/FBrf0221412); Ito et al., 2013, Curr. Biol. 23(8): 644--655 (flybase.org/reports/FBrf0221438)</t>
        </is>
      </c>
      <c r="F317" t="inlineStr"/>
      <c r="G317" t="inlineStr"/>
      <c r="H317" t="inlineStr"/>
    </row>
    <row r="318">
      <c r="A318">
        <f>HYPERLINK("https://www.ebi.ac.uk/ols/ontologies/fbbt/terms?iri=http://purl.obolibrary.org/obo/FBbt_00111317","FBbt:00111317")</f>
        <v/>
      </c>
      <c r="B318" t="inlineStr">
        <is>
          <t>adult CCAP protocerebrum neuron</t>
        </is>
      </c>
      <c r="C318" t="inlineStr">
        <is>
          <t>None</t>
        </is>
      </c>
      <c r="D318" t="inlineStr">
        <is>
          <t>Adult neuron that expresses CCAP (Crustacean cardioactive peptide) (FBgn0039007), whose soma is located in the protocerebrum. There is 1 neuron in each hemisphere.</t>
        </is>
      </c>
      <c r="E318" t="inlineStr">
        <is>
          <t>Luan et al., 2006, J. Neurosci. 26(2): 573--584 (flybase.org/reports/FBrf0191050)</t>
        </is>
      </c>
      <c r="F318" t="inlineStr"/>
      <c r="G318" t="inlineStr"/>
      <c r="H318" t="inlineStr"/>
    </row>
    <row r="319">
      <c r="A319">
        <f>HYPERLINK("https://www.ebi.ac.uk/ols/ontologies/fbbt/terms?iri=http://purl.obolibrary.org/obo/FBbt_00050014","FBbt:00050014")</f>
        <v/>
      </c>
      <c r="B319" t="inlineStr">
        <is>
          <t>adult VPNl&amp;d1 lineage neuron</t>
        </is>
      </c>
      <c r="C319" t="inlineStr">
        <is>
          <t>adult VPNl_d1 lineage neuron</t>
        </is>
      </c>
      <c r="D319" t="inlineStr">
        <is>
          <t>Any neuron (FBbt:00005106) that is part of some adult brain (FBbt:00003624) and that develops from some neuroblast VPNl&amp;d1 (FBbt:00050012).</t>
        </is>
      </c>
      <c r="E319" t="inlineStr">
        <is>
          <t>Yu et al., 2013, Curr. Biol. 23(8): 633--643 (flybase.org/reports/FBrf0221412); Ito et al., 2013, Curr. Biol. 23(8): 644--655 (flybase.org/reports/FBrf0221438)</t>
        </is>
      </c>
      <c r="F319" t="inlineStr"/>
      <c r="G319" t="inlineStr"/>
      <c r="H319" t="inlineStr"/>
    </row>
    <row r="320">
      <c r="A320">
        <f>HYPERLINK("https://www.ebi.ac.uk/ols/ontologies/fbbt/terms?iri=http://purl.obolibrary.org/obo/FBbt_00100245","FBbt:00100245")</f>
        <v/>
      </c>
      <c r="B320" t="inlineStr">
        <is>
          <t>mushroom body pedunculus-medial lobe and vertical lobe arborizing neuron 1</t>
        </is>
      </c>
      <c r="C320" t="inlineStr">
        <is>
          <t>MB-MVP1</t>
        </is>
      </c>
      <c r="D320" t="inlineStr">
        <is>
          <t>A neuron, which is part of a cluster of at least seven neurons, whose cell body is located on the inferior neuropils, near the junction of the mushroom body lobes of each adult brain hemisphere. The cell body fiber bifurcates in front of the vertical lobes. One of these branches turns ventromedially to the tip of the medial lobe, whereas the other runs dorsally. The first branch innervates the medial lobe through the border between the gamma and beta' lobes and bifurcates both medially and laterally at the border between the beta and beta' lobes. One bundle of fibers runs medially to the opposite lobe, whereas the other runs laterally to the basal segments of the beta and alpha lobe (slice 1) as well as the core of the pedunculus. The second of the initial branches diverges in the superior neuropils near the tip of the vertical lobe. One branch turns laterally, runs through the anterior side of the vertical lobe and terminates in the superior intermediate protocerebrum and superior medial protocerebrum. Another branch turns medially and terminates in the anterior dorsal superior medial protocerebrum. Some branches turn laterally, innervating the posterior dorsal superior medial protocerebrum and posterior dorsal superior lateral protocerebrum, and terminate in the anterior dorsal superior lateral protocerebrum. Three subtypes have been recognized: one that arborizes in the beta lobe slice and pedunculus (PAM-09), another that arborizes the beta lobe slice 1 (PAM-10) and another that arborizes in the alpha lobe slice 1 (PAM-.</t>
        </is>
      </c>
      <c r="E320" t="inlineStr">
        <is>
          <t>Tanaka et al., 2008, J. Comp. Neurol. 508(5): 711--755 (flybase.org/reports/FBrf0205263); Aso et al., 2014, eLife 3: e04577 (flybase.org/reports/FBrf0227179)</t>
        </is>
      </c>
      <c r="F320" t="inlineStr"/>
      <c r="G320" t="inlineStr"/>
      <c r="H320" t="inlineStr"/>
    </row>
    <row r="321">
      <c r="A321">
        <f>HYPERLINK("https://www.ebi.ac.uk/ols/ontologies/fbbt/terms?iri=http://purl.obolibrary.org/obo/FBbt_00050011","FBbt:00050011")</f>
        <v/>
      </c>
      <c r="B321" t="inlineStr">
        <is>
          <t>adult FLAa3 (male) lineage neuron</t>
        </is>
      </c>
      <c r="C321" t="inlineStr">
        <is>
          <t>adult FLAa3m lineage neuron</t>
        </is>
      </c>
      <c r="D321" t="inlineStr">
        <is>
          <t>Any neuron (FBbt:00005106) that is part of some adult brain (FBbt:00003624) and that develops from some neuroblast FLAa3 (male) (FBbt:00050009).</t>
        </is>
      </c>
      <c r="E321" t="inlineStr">
        <is>
          <t>Yu et al., 2013, Curr. Biol. 23(8): 633--643 (flybase.org/reports/FBrf0221412)</t>
        </is>
      </c>
      <c r="F321" t="inlineStr"/>
      <c r="G321" t="inlineStr"/>
      <c r="H321" t="inlineStr"/>
    </row>
    <row r="322">
      <c r="A322">
        <f>HYPERLINK("https://www.ebi.ac.uk/ols/ontologies/fbbt/terms?iri=http://purl.obolibrary.org/obo/FBbt_00100246","FBbt:00100246")</f>
        <v/>
      </c>
      <c r="B322" t="inlineStr">
        <is>
          <t>mushroom body pedunculus-medial lobe and vertical lobe arborizing neuron 2</t>
        </is>
      </c>
      <c r="C322" t="inlineStr">
        <is>
          <t>MBON-11; MBON-gamma1pedc&gt;alpha/beta; MB-MVP2</t>
        </is>
      </c>
      <c r="D322" t="inlineStr">
        <is>
          <t>A GABAergic neuron whose cell body is located on the inferior neuropils in each adult brain hemisphere. The cell body fiber runs posteriorly and bifurcates laterally and medially. The lateral branch arborizes in the lateral-most spur area of the gamma lobe (slice 1) and the core of the pedunculus. Its axon projects bilaterally to the alpha and beta lobes and contralaterally to the core of the pedunculus and, to a lesser extent, to the crepine. In the alpha lobe slice 3, its terminals are enriched in the surface layer. There is one neuron of this type in each hemisphere.</t>
        </is>
      </c>
      <c r="E322" t="inlineStr">
        <is>
          <t>Tanaka et al., 2008, J. Comp. Neurol. 508(5): 711--755 (flybase.org/reports/FBrf0205263); Aso et al., 2014, eLife 3: e04577 (flybase.org/reports/FBrf0227179)</t>
        </is>
      </c>
      <c r="F322" t="inlineStr"/>
      <c r="G322" t="inlineStr"/>
      <c r="H322" t="inlineStr"/>
    </row>
    <row r="323">
      <c r="A323">
        <f>HYPERLINK("https://www.ebi.ac.uk/ols/ontologies/fbbt/terms?iri=http://purl.obolibrary.org/obo/FBbt_00110361","FBbt:00110361")</f>
        <v/>
      </c>
      <c r="B323" t="inlineStr">
        <is>
          <t>adult LHa4 lineage neuron</t>
        </is>
      </c>
      <c r="C323" t="inlineStr">
        <is>
          <t>None</t>
        </is>
      </c>
      <c r="D323" t="inlineStr">
        <is>
          <t>Any neuron (FBbt:00005106) that is part of some adult brain (FBbt:00003624) and that develops from some neuroblast LHa4 (FBbt:00110359).</t>
        </is>
      </c>
      <c r="E323" t="inlineStr">
        <is>
          <t>Ito et al., 2013, Curr. Biol. 23(8): 644--655 (flybase.org/reports/FBrf0221438)</t>
        </is>
      </c>
      <c r="F323" t="inlineStr"/>
      <c r="G323" t="inlineStr"/>
      <c r="H323" t="inlineStr"/>
    </row>
    <row r="324">
      <c r="A324">
        <f>HYPERLINK("https://www.ebi.ac.uk/ols/ontologies/fbbt/terms?iri=http://purl.obolibrary.org/obo/FBbt_00050212","FBbt:00050212")</f>
        <v/>
      </c>
      <c r="B324" t="inlineStr">
        <is>
          <t>adult VLPp2 lineage neuron</t>
        </is>
      </c>
      <c r="C324" t="inlineStr">
        <is>
          <t>None</t>
        </is>
      </c>
      <c r="D324" t="inlineStr">
        <is>
          <t>Any neuron (FBbt:00005106) that is part of some adult brain (FBbt:00003624) and that develops from some neuroblast VLPp2 (FBbt:00050210).</t>
        </is>
      </c>
      <c r="E324" t="inlineStr">
        <is>
          <t>Yu et al., 2013, Curr. Biol. 23(8): 633--643 (flybase.org/reports/FBrf0221412); Ito et al., 2013, Curr. Biol. 23(8): 644--655 (flybase.org/reports/FBrf0221438)</t>
        </is>
      </c>
      <c r="F324" t="inlineStr"/>
      <c r="G324" t="inlineStr"/>
      <c r="H324" t="inlineStr"/>
    </row>
    <row r="325">
      <c r="A325">
        <f>HYPERLINK("https://www.ebi.ac.uk/ols/ontologies/fbbt/terms?iri=http://purl.obolibrary.org/obo/FBbt_00007438","FBbt:00007438")</f>
        <v/>
      </c>
      <c r="B325" t="inlineStr">
        <is>
          <t>adult antennal lobe projection neuron adPN</t>
        </is>
      </c>
      <c r="C325" t="inlineStr">
        <is>
          <t>adult projection neuron adPN; adult adPN</t>
        </is>
      </c>
      <c r="D325" t="inlineStr">
        <is>
          <t>An adult antennal lobe projection neuron that is derived from neuroblast ALad1 (FBbt:00067346). All of these neurons have axons that fasciculate with the medial antennal lobe tract (mALT) and innervate the lateral horn.</t>
        </is>
      </c>
      <c r="E325" t="inlineStr">
        <is>
          <t>Jefferis et al., 2001, Nature 414(6860): 204--208 (flybase.org/reports/FBrf0141667); Marin et al., 2002, Cell 109(2): 243--255 (flybase.org/reports/FBrf0146917); Lai et al., 2008, Development 135(17): 2883--2893 (flybase.org/reports/FBrf0205814); Yu et al., 2010, PLoS Biol. 8(8): (flybase.org/reports/FBrf0211729); Lin et al., 2013, Science 340(6138): 1338--1341 (flybase.org/reports/FBrf0221835)</t>
        </is>
      </c>
      <c r="F325" t="inlineStr"/>
      <c r="G325" t="inlineStr"/>
      <c r="H325" t="inlineStr"/>
    </row>
    <row r="326">
      <c r="A326">
        <f>HYPERLINK("https://www.ebi.ac.uk/ols/ontologies/fbbt/terms?iri=http://purl.obolibrary.org/obo/FBbt_00110364","FBbt:00110364")</f>
        <v/>
      </c>
      <c r="B326" t="inlineStr">
        <is>
          <t>adult SLPav4 lineage neuron</t>
        </is>
      </c>
      <c r="C326" t="inlineStr">
        <is>
          <t>None</t>
        </is>
      </c>
      <c r="D326" t="inlineStr">
        <is>
          <t>Any neuron (FBbt:00005106) that is part of some adult brain (FBbt:00003624) and that develops from some neuroblast SLPav4 (FBbt:00110362).</t>
        </is>
      </c>
      <c r="E326" t="inlineStr">
        <is>
          <t>Ito et al., 2013, Curr. Biol. 23(8): 644--655 (flybase.org/reports/FBrf0221438)</t>
        </is>
      </c>
      <c r="F326" t="inlineStr"/>
      <c r="G326" t="inlineStr"/>
      <c r="H326" t="inlineStr"/>
    </row>
    <row r="327">
      <c r="A327">
        <f>HYPERLINK("https://www.ebi.ac.uk/ols/ontologies/fbbt/terms?iri=http://purl.obolibrary.org/obo/FBbt_00007437","FBbt:00007437")</f>
        <v/>
      </c>
      <c r="B327" t="inlineStr">
        <is>
          <t>adult antennal lobe projection neuron vPN</t>
        </is>
      </c>
      <c r="C327" t="inlineStr">
        <is>
          <t>adult vPN</t>
        </is>
      </c>
      <c r="D327" t="inlineStr">
        <is>
          <t>Any antennal lobe projection neuron (FBbt:00007422) that is part of some adult brain (FBbt:00003624) and that develops from some neuroblast ALv1 (FBbt:00067348).</t>
        </is>
      </c>
      <c r="E327" t="inlineStr"/>
      <c r="F327" t="inlineStr"/>
      <c r="G327" t="inlineStr"/>
      <c r="H327" t="inlineStr"/>
    </row>
    <row r="328">
      <c r="A328">
        <f>HYPERLINK("https://www.ebi.ac.uk/ols/ontologies/fbbt/terms?iri=http://purl.obolibrary.org/obo/FBbt_00111201","FBbt:00111201")</f>
        <v/>
      </c>
      <c r="B328" t="inlineStr">
        <is>
          <t>dopaminergic medulla neuron</t>
        </is>
      </c>
      <c r="C328" t="inlineStr">
        <is>
          <t>MC neuron</t>
        </is>
      </c>
      <c r="D328" t="inlineStr">
        <is>
          <t>A dopaminergic neuron whose small cell body is located on the surface of the medulla. It projects to a deeper layer of the medulla where it forms a fiber plexus.</t>
        </is>
      </c>
      <c r="E328" t="inlineStr">
        <is>
          <t>Hamasaka and Nassel, 2006, J. Comp. Neurol. 494(2): 314--330 (flybase.org/reports/FBrf0191078); Hindle et al., 2013, Hum. Mol. Genet. 22(11): 2129--2140 (flybase.org/reports/FBrf0221624)</t>
        </is>
      </c>
      <c r="F328" t="inlineStr"/>
      <c r="G328" t="inlineStr"/>
      <c r="H328" t="inlineStr"/>
    </row>
    <row r="329">
      <c r="A329">
        <f>HYPERLINK("https://www.ebi.ac.uk/ols/ontologies/fbbt/terms?iri=http://purl.obolibrary.org/obo/FBbt_00067359","FBbt:00067359")</f>
        <v/>
      </c>
      <c r="B329" t="inlineStr">
        <is>
          <t>adult antennal lobe projection neuron VM2 adPN</t>
        </is>
      </c>
      <c r="C329" t="inlineStr">
        <is>
          <t>iACT (VM2); mAPT (VM2); mALT (VM2); VM2 adPN</t>
        </is>
      </c>
      <c r="D329" t="inlineStr">
        <is>
          <t>Antennal lobe projection neuron from the ad neuroblast lineage whose dendrites innervate only antennal lobe glomerulus VM2. Neurons of this class are derived from the 11th larval division of the neuroblast ALad1 (FBbt:00067346) (Yu et al., 2010). The axons of these neurons innervate a small area at the dorsoposterior edge of the lateral horn.</t>
        </is>
      </c>
      <c r="E329" t="inlineStr">
        <is>
          <t>Jefferis et al., 2001, Nature 414(6860): 204--208 (flybase.org/reports/FBrf0141667); Marin et al., 2002, Cell 109(2): 243--255 (flybase.org/reports/FBrf0146917); Tanaka et al., 2004, Curr. Biol. 14(6): 449--457 (flybase.org/reports/FBrf0174482); Jefferis et al., 2007, Cell 128(6): 1187--1203 (flybase.org/reports/FBrf0203179); Yu et al., 2010, PLoS Biol. 8(8): (flybase.org/reports/FBrf0211729)</t>
        </is>
      </c>
      <c r="F329" t="inlineStr"/>
      <c r="G329" t="inlineStr"/>
      <c r="H329" t="inlineStr"/>
    </row>
    <row r="330">
      <c r="A330">
        <f>HYPERLINK("https://www.ebi.ac.uk/ols/ontologies/fbbt/terms?iri=http://purl.obolibrary.org/obo/FBbt_00111200","FBbt:00111200")</f>
        <v/>
      </c>
      <c r="B330" t="inlineStr">
        <is>
          <t>dopaminergic lamina neuron</t>
        </is>
      </c>
      <c r="C330" t="inlineStr">
        <is>
          <t>LA neuron</t>
        </is>
      </c>
      <c r="D330" t="inlineStr">
        <is>
          <t>A dopaminergic neuron whose cell body is located in the lateral cell body region. It projects through the anterior surface of the medulla and branches extensively throughout the lamina. There are 4 of these neurons in a cluster.</t>
        </is>
      </c>
      <c r="E330" t="inlineStr">
        <is>
          <t>Hindle et al., 2013, Hum. Mol. Genet. 22(11): 2129--2140 (flybase.org/reports/FBrf0221624)</t>
        </is>
      </c>
      <c r="F330" t="inlineStr"/>
      <c r="G330" t="inlineStr"/>
      <c r="H330" t="inlineStr"/>
    </row>
    <row r="331">
      <c r="A331">
        <f>HYPERLINK("https://www.ebi.ac.uk/ols/ontologies/fbbt/terms?iri=http://purl.obolibrary.org/obo/FBbt_00111483","FBbt:00111483")</f>
        <v/>
      </c>
      <c r="B331" t="inlineStr">
        <is>
          <t>antennal mechanosensory and motor center AMMC Bb3 neuron</t>
        </is>
      </c>
      <c r="C331" t="inlineStr">
        <is>
          <t>AMMC-Bb3</t>
        </is>
      </c>
      <c r="D331" t="inlineStr">
        <is>
          <t>Bilateral neuron whose cell body is located in the cell body rind on the lateral region of the antennal lobe. The primary neurite forms several branches to form postsynaptic terminals in the ipsilateral antennal mechanosensory and motor center (AMMC) zone B and the glomerulus of the posterior ventrolateral protocerebrum (PVLP) which is targeted by LC4 neurons. Presynaptic terminals are found in the ipsilateral saddle, gnathal ganglion and wedge. The contralateral branch arises at the ventrolateral side of the epaulette and crosses the midline to form presynaptic terminals in the contralateral glomerulus of the posterior ventrolateral protocerebrum (PVLP) which is targeted by LC4 neurons.</t>
        </is>
      </c>
      <c r="E331" t="inlineStr">
        <is>
          <t>Matsuo et al., 2016, J. Comp. Neurol. 524(6): 1099--1164 (flybase.org/reports/FBrf0230862)</t>
        </is>
      </c>
      <c r="F331" t="inlineStr"/>
      <c r="G331" t="inlineStr"/>
      <c r="H331" t="inlineStr"/>
    </row>
    <row r="332">
      <c r="A332">
        <f>HYPERLINK("https://www.ebi.ac.uk/ols/ontologies/fbbt/terms?iri=http://purl.obolibrary.org/obo/FBbt_00111482","FBbt:00111482")</f>
        <v/>
      </c>
      <c r="B332" t="inlineStr">
        <is>
          <t>antennal mechanosensory and motor center AMMC Bb2 neuron</t>
        </is>
      </c>
      <c r="C332" t="inlineStr">
        <is>
          <t>AMMC-Bb2</t>
        </is>
      </c>
      <c r="D332" t="inlineStr">
        <is>
          <t>Bilateral neuron whose cell body is located in the cell body rind on the lateral region of the antennal lobe. The primary neurite extends posterioventromedially and bifurcates in antennal mechanosensory and motor center (AMMC). The lateral branch forms postsynaptic terminals in the AMMC zone B and turns posterioventrally to arborize in the saddle. The contralateral branch extends to form presynaptic terminals in the contralateral glomerulus of the posterior ventrolateral protocerebrum (PVLP) which is targeted by LC4 neurons.</t>
        </is>
      </c>
      <c r="E332" t="inlineStr">
        <is>
          <t>Matsuo et al., 2016, J. Comp. Neurol. 524(6): 1099--1164 (flybase.org/reports/FBrf0230862)</t>
        </is>
      </c>
      <c r="F332" t="inlineStr"/>
      <c r="G332" t="inlineStr"/>
      <c r="H332" t="inlineStr"/>
    </row>
    <row r="333">
      <c r="A333">
        <f>HYPERLINK("https://www.ebi.ac.uk/ols/ontologies/fbbt/terms?iri=http://purl.obolibrary.org/obo/FBbt_00003762","FBbt:00003762")</f>
        <v/>
      </c>
      <c r="B333" t="inlineStr">
        <is>
          <t>LN Pdf neuron</t>
        </is>
      </c>
      <c r="C333" t="inlineStr">
        <is>
          <t>PDH neuron; PDFMe; pigment-dispersing hormone-immunoreactive neuron close to medulla</t>
        </is>
      </c>
      <c r="D333" t="inlineStr">
        <is>
          <t>Lateral period-expressing neuron (LN) of the adult brain that also expresses Pigment-dispersing factor (Helfrich-Forster, 1997). These neurons also express cryptochrome and Rhodopsin 7, which allow them to respond to high frequency (blue) visible light (Ni et al., 2017).</t>
        </is>
      </c>
      <c r="E333" t="inlineStr">
        <is>
          <t>Helfrich-Forster, 1997, J. Comp. Neurol. 380(3): 335--354 (flybase.org/reports/FBrf0093121); Ni et al., 2017, Nature 545(7654): 340--344 (flybase.org/reports/FBrf0235590)</t>
        </is>
      </c>
      <c r="F333" t="inlineStr"/>
      <c r="G333" t="inlineStr"/>
      <c r="H333" t="inlineStr"/>
    </row>
    <row r="334">
      <c r="A334">
        <f>HYPERLINK("https://www.ebi.ac.uk/ols/ontologies/fbbt/terms?iri=http://purl.obolibrary.org/obo/FBbt_00110413","FBbt:00110413")</f>
        <v/>
      </c>
      <c r="B334" t="inlineStr">
        <is>
          <t>adult SMPad4 lineage neuron</t>
        </is>
      </c>
      <c r="C334" t="inlineStr">
        <is>
          <t>None</t>
        </is>
      </c>
      <c r="D334" t="inlineStr">
        <is>
          <t>Any neuron (FBbt:00005106) that is part of some adult brain (FBbt:00003624) and that develops from some neuroblast SMPad4 (FBbt:00110411).</t>
        </is>
      </c>
      <c r="E334" t="inlineStr">
        <is>
          <t>Ito et al., 2013, Curr. Biol. 23(8): 644--655 (flybase.org/reports/FBrf0221438)</t>
        </is>
      </c>
      <c r="F334" t="inlineStr"/>
      <c r="G334" t="inlineStr"/>
      <c r="H334" t="inlineStr"/>
    </row>
    <row r="335">
      <c r="A335">
        <f>HYPERLINK("https://www.ebi.ac.uk/ols/ontologies/fbbt/terms?iri=http://purl.obolibrary.org/obo/FBbt_00067021","FBbt:00067021")</f>
        <v/>
      </c>
      <c r="B335" t="inlineStr">
        <is>
          <t>adult antennal lobe projection neuron DP1m adPN</t>
        </is>
      </c>
      <c r="C335" t="inlineStr">
        <is>
          <t>DP1m adPN</t>
        </is>
      </c>
      <c r="D335" t="inlineStr">
        <is>
          <t>Antennal lobe projection neuron from the ad neuroblast lineage whose dendrites innervate only antennal lobe glomerulus DP1m. This is the first neuron born from the neuroblast ALad1 (FBbt:00067346) during embryogenesis (Yu et al., 2010). The axonal terminals in the lateral horn branch extensively and occupy large regions of this neuropil.</t>
        </is>
      </c>
      <c r="E335" t="inlineStr">
        <is>
          <t>Marin et al., 2005, Development 132(4): 725--737 (flybase.org/reports/FBrf0183938); Yu et al., 2010, PLoS Biol. 8(8): (flybase.org/reports/FBrf0211729); Ai et al., 2013, J. Neurosci. 33(26): 10741--10749 (flybase.org/reports/FBrf0222046)</t>
        </is>
      </c>
      <c r="F335" t="inlineStr"/>
      <c r="G335" t="inlineStr"/>
      <c r="H335" t="inlineStr"/>
    </row>
    <row r="336">
      <c r="A336">
        <f>HYPERLINK("https://www.ebi.ac.uk/ols/ontologies/fbbt/terms?iri=http://purl.obolibrary.org/obo/FBbt_00111481","FBbt:00111481")</f>
        <v/>
      </c>
      <c r="B336" t="inlineStr">
        <is>
          <t>antennal mechanosensory and motor center AMMC Bb1 neuron</t>
        </is>
      </c>
      <c r="C336" t="inlineStr">
        <is>
          <t>AMMC-Bb1</t>
        </is>
      </c>
      <c r="D336" t="inlineStr">
        <is>
          <t>Bilateral neuron whose cell body is located in the cell body rind on the posterior region of the posterior lateral protocerebrum (PLP). The primary neurite extends anteriodorsally and turns sharply to bifurcate in the great commissure. The ipsilateral branch forms postsynaptic terminals in the antennal mechanosensory and motor center (AMMC) zone A, including the most ventral region, wedge, anterior ventrolateral protocerebrum (AVLP) and posterior ventrolateral protocerebrum (PVLP). The contralateral branch fasciculates with the great commissure and extends to form presynaptic terminals in the gorget, inferior clamp and postsynaptic ones in the AVLP, PVLP and epaulette.</t>
        </is>
      </c>
      <c r="E336" t="inlineStr">
        <is>
          <t>Matsuo et al., 2016, J. Comp. Neurol. 524(6): 1099--1164 (flybase.org/reports/FBrf0230862)</t>
        </is>
      </c>
      <c r="F336" t="inlineStr"/>
      <c r="G336" t="inlineStr"/>
      <c r="H336" t="inlineStr"/>
    </row>
    <row r="337">
      <c r="A337">
        <f>HYPERLINK("https://www.ebi.ac.uk/ols/ontologies/fbbt/terms?iri=http://purl.obolibrary.org/obo/FBbt_00003765","FBbt:00003765")</f>
        <v/>
      </c>
      <c r="B337" t="inlineStr">
        <is>
          <t>Pdf neuron close to calyx</t>
        </is>
      </c>
      <c r="C337" t="inlineStr">
        <is>
          <t>pigment-dispersing hormone-immunoreactive neuron close to calyx; PDFCa</t>
        </is>
      </c>
      <c r="D337" t="inlineStr">
        <is>
          <t>Neuron of the adult brain that expresses Pdf and whose soma is located dorsoanterior to the calyx of the mushroom body. Its branches extend ventrally into the dorsal esophageal foramen. There are between 4-8 neurons in each hemisphere.</t>
        </is>
      </c>
      <c r="E337" t="inlineStr">
        <is>
          <t>Helfrich-Forster and Homberg, 1993, J. Comp. Neurol. 337(2): 177--190 (flybase.org/reports/FBrf0065419); Helfrich-Forster, 1997, J. Comp. Neurol. 380(3): 335--354 (flybase.org/reports/FBrf0093121)</t>
        </is>
      </c>
      <c r="F337" t="inlineStr"/>
      <c r="G337" t="inlineStr"/>
      <c r="H337" t="inlineStr"/>
    </row>
    <row r="338">
      <c r="A338">
        <f>HYPERLINK("https://www.ebi.ac.uk/ols/ontologies/fbbt/terms?iri=http://purl.obolibrary.org/obo/FBbt_00111480","FBbt:00111480")</f>
        <v/>
      </c>
      <c r="B338" t="inlineStr">
        <is>
          <t>antennal mechanosensory and motor center AMMC Bi16 neuron</t>
        </is>
      </c>
      <c r="C338" t="inlineStr">
        <is>
          <t>AMMC-Bi16</t>
        </is>
      </c>
      <c r="D338" t="inlineStr">
        <is>
          <t>Ipsilateral neuron whose cell body is located in the cell body rind on the lateral region of the antennal lobe. The primary neurite extends medially and broadly forms postsynaptic terminals in the antennal lobe. It then turns posteriodorsally to project towards the fan-shaped body (FB) and turns posteriolaterally at the ventrolateral side of the FB to form presynaptic terminals in the posterior lateral protocerebrum (PLP). The neurite turns anterioventrally to form presynaptic terminals in the posterior ventrolateral protocerebrum (PVLP) and arborize in the antennal mechanosensory and motor center (AMMC) zone B.</t>
        </is>
      </c>
      <c r="E338" t="inlineStr">
        <is>
          <t>Matsuo et al., 2016, J. Comp. Neurol. 524(6): 1099--1164 (flybase.org/reports/FBrf0230862)</t>
        </is>
      </c>
      <c r="F338" t="inlineStr"/>
      <c r="G338" t="inlineStr"/>
      <c r="H338" t="inlineStr"/>
    </row>
    <row r="339">
      <c r="A339">
        <f>HYPERLINK("https://www.ebi.ac.uk/ols/ontologies/fbbt/terms?iri=http://purl.obolibrary.org/obo/FBbt_00111341","FBbt:00111341")</f>
        <v/>
      </c>
      <c r="B339" t="inlineStr">
        <is>
          <t>adult antennal lobe projection neuron VP2/VP3 t3ALT</t>
        </is>
      </c>
      <c r="C339" t="inlineStr">
        <is>
          <t>adult antennal lobe projection neuron VP2/VP3 t3ALT PN; warm-cool-PN</t>
        </is>
      </c>
      <c r="D339" t="inlineStr">
        <is>
          <t>Antennal lobe projection neuron whose dendrites innervate the antennal lobe glomeruli VP2 and VP3. It fasciculates with the transverse antennal lobe t3ALT tract to innervate the lateral horn, posterior slope and posterior lateral protocerebrum. This neuron responds to fast increases and decreases in temperature.</t>
        </is>
      </c>
      <c r="E339" t="inlineStr">
        <is>
          <t>Frank et al., 2015, Nature 519(7543): 358--361 (flybase.org/reports/FBrf0227880); Liu et al., 2015, Nature 519(7543): 353--357 (flybase.org/reports/FBrf0227881)</t>
        </is>
      </c>
      <c r="F339" t="inlineStr"/>
      <c r="G339" t="inlineStr"/>
      <c r="H339" t="inlineStr"/>
    </row>
    <row r="340">
      <c r="A340">
        <f>HYPERLINK("https://www.ebi.ac.uk/ols/ontologies/fbbt/terms?iri=http://purl.obolibrary.org/obo/FBbt_00111340","FBbt:00111340")</f>
        <v/>
      </c>
      <c r="B340" t="inlineStr">
        <is>
          <t>adult antennal lobe projection neuron VP2/VP3 lALT</t>
        </is>
      </c>
      <c r="C340" t="inlineStr">
        <is>
          <t>oligoglomerular uACTI VP2-VP3; warm-PN; adult antennal lobe projection neuron VP2/VP3 lALT PN</t>
        </is>
      </c>
      <c r="D340" t="inlineStr">
        <is>
          <t>Antennal lobe projection neuron whose dendrites innervate the antennal lobe glomeruli VP2 and VP3. It fasciculates with the lateral antennal lobe tract lALT to innervate the lateral horn, posterior slope and posterior lateral protocerebrum. This neuron responds to heating.</t>
        </is>
      </c>
      <c r="E340" t="inlineStr">
        <is>
          <t>Frank et al., 2015, Nature 519(7543): 358--361 (flybase.org/reports/FBrf0227880); Liu et al., 2015, Nature 519(7543): 353--357 (flybase.org/reports/FBrf0227881)</t>
        </is>
      </c>
      <c r="F340" t="inlineStr"/>
      <c r="G340" t="inlineStr"/>
      <c r="H340" t="inlineStr"/>
    </row>
    <row r="341">
      <c r="A341">
        <f>HYPERLINK("https://www.ebi.ac.uk/ols/ontologies/fbbt/terms?iri=http://purl.obolibrary.org/obo/FBbt_00050218","FBbt:00050218")</f>
        <v/>
      </c>
      <c r="B341" t="inlineStr">
        <is>
          <t>adult SLPpm2 lineage neuron</t>
        </is>
      </c>
      <c r="C341" t="inlineStr">
        <is>
          <t>None</t>
        </is>
      </c>
      <c r="D341" t="inlineStr">
        <is>
          <t>Any neuron (FBbt:00005106) that is part of some adult brain (FBbt:00003624) and that develops from some neuroblast SLPpm2 (FBbt:00050216).</t>
        </is>
      </c>
      <c r="E341" t="inlineStr">
        <is>
          <t>Yu et al., 2013, Curr. Biol. 23(8): 633--643 (flybase.org/reports/FBrf0221412)</t>
        </is>
      </c>
      <c r="F341" t="inlineStr"/>
      <c r="G341" t="inlineStr"/>
      <c r="H341" t="inlineStr"/>
    </row>
    <row r="342">
      <c r="A342">
        <f>HYPERLINK("https://www.ebi.ac.uk/ols/ontologies/fbbt/terms?iri=http://purl.obolibrary.org/obo/FBbt_00050215","FBbt:00050215")</f>
        <v/>
      </c>
      <c r="B342" t="inlineStr">
        <is>
          <t>adult PSp1 lineage neuron</t>
        </is>
      </c>
      <c r="C342" t="inlineStr">
        <is>
          <t>None</t>
        </is>
      </c>
      <c r="D342" t="inlineStr">
        <is>
          <t>Any neuron (FBbt:00005106) that is part of some adult brain (FBbt:00003624) and that develops from some neuroblast PSp1 (FBbt:00050213).</t>
        </is>
      </c>
      <c r="E342" t="inlineStr">
        <is>
          <t>Yu et al., 2013, Curr. Biol. 23(8): 633--643 (flybase.org/reports/FBrf0221412); Ito et al., 2013, Curr. Biol. 23(8): 644--655 (flybase.org/reports/FBrf0221438)</t>
        </is>
      </c>
      <c r="F342" t="inlineStr"/>
      <c r="G342" t="inlineStr"/>
      <c r="H342" t="inlineStr"/>
    </row>
    <row r="343">
      <c r="A343">
        <f>HYPERLINK("https://www.ebi.ac.uk/ols/ontologies/fbbt/terms?iri=http://purl.obolibrary.org/obo/FBbt_00111484","FBbt:00111484")</f>
        <v/>
      </c>
      <c r="B343" t="inlineStr">
        <is>
          <t>antennal mechanosensory and motor center AMMC Bb4 neuron</t>
        </is>
      </c>
      <c r="C343" t="inlineStr">
        <is>
          <t>AMMC-Bb4</t>
        </is>
      </c>
      <c r="D343" t="inlineStr">
        <is>
          <t>Bilateral neuron whose cell body is located in the cell body rind on the lateral region of the antennal lobe. The primary neurite extends posteriomedially and branches to form postsynaptic terminals in the ipsilateral antennal mechanosensory and motor center (AMMC) zone B and wedge. The neurite further extends ventromedially to form presynaptic terminals in the saddle and gnathal ganglion. One of the branches projects dorsally and bifurcates at the ventral side of the ipsilateral epaulette. The lateral branch forms presynaptic terminals in the ipsilateral glomerulus of the posterior ventrolateral protocerebrum (PVLP) which is targeted by LC4 neurons whereas the medial branches crosses the midline to do the same in the contralateral region.</t>
        </is>
      </c>
      <c r="E343" t="inlineStr">
        <is>
          <t>Matsuo et al., 2016, J. Comp. Neurol. 524(6): 1099--1164 (flybase.org/reports/FBrf0230862)</t>
        </is>
      </c>
      <c r="F343" t="inlineStr"/>
      <c r="G343" t="inlineStr"/>
      <c r="H343" t="inlineStr"/>
    </row>
    <row r="344">
      <c r="A344">
        <f>HYPERLINK("https://www.ebi.ac.uk/ols/ontologies/fbbt/terms?iri=http://purl.obolibrary.org/obo/FBbt_00050168","FBbt:00050168")</f>
        <v/>
      </c>
      <c r="B344" t="inlineStr">
        <is>
          <t>adult LALv1 lineage neuron</t>
        </is>
      </c>
      <c r="C344" t="inlineStr">
        <is>
          <t>None</t>
        </is>
      </c>
      <c r="D344" t="inlineStr">
        <is>
          <t>Any neuron (FBbt:00005106) that is part of some adult brain (FBbt:00003624) and that develops from some neuroblast LALv1 (FBbt:00050166).</t>
        </is>
      </c>
      <c r="E344" t="inlineStr">
        <is>
          <t>Yu et al., 2013, Curr. Biol. 23(8): 633--643 (flybase.org/reports/FBrf0221412); Ito et al., 2013, Curr. Biol. 23(8): 644--655 (flybase.org/reports/FBrf0221438)</t>
        </is>
      </c>
      <c r="F344" t="inlineStr"/>
      <c r="G344" t="inlineStr"/>
      <c r="H344" t="inlineStr"/>
    </row>
    <row r="345">
      <c r="A345">
        <f>HYPERLINK("https://www.ebi.ac.uk/ols/ontologies/fbbt/terms?iri=http://purl.obolibrary.org/obo/FBbt_00007440","FBbt:00007440")</f>
        <v/>
      </c>
      <c r="B345" t="inlineStr">
        <is>
          <t>adult uniglomerular antennal lobe projection neuron</t>
        </is>
      </c>
      <c r="C345" t="inlineStr">
        <is>
          <t>adult uniglomerular AL PN</t>
        </is>
      </c>
      <c r="D345" t="inlineStr">
        <is>
          <t>Any uniglomerular antennal lobe projection neuron (FBbt:00007383) that is part of some adult brain (FBbt:00003624).</t>
        </is>
      </c>
      <c r="E345" t="inlineStr"/>
      <c r="F345" t="inlineStr"/>
      <c r="G345" t="inlineStr"/>
      <c r="H345" t="inlineStr"/>
    </row>
    <row r="346">
      <c r="A346">
        <f>HYPERLINK("https://www.ebi.ac.uk/ols/ontologies/fbbt/terms?iri=http://purl.obolibrary.org/obo/FBbt_00050023","FBbt:00050023")</f>
        <v/>
      </c>
      <c r="B346" t="inlineStr">
        <is>
          <t>adult SMPpd1 lineage neuron</t>
        </is>
      </c>
      <c r="C346" t="inlineStr">
        <is>
          <t>None</t>
        </is>
      </c>
      <c r="D346" t="inlineStr">
        <is>
          <t>Any neuron (FBbt:00005106) that is part of some adult brain (FBbt:00003624) and that develops from some neuroblast SMPpd1 (FBbt:00050021).</t>
        </is>
      </c>
      <c r="E346" t="inlineStr">
        <is>
          <t>Yu et al., 2013, Curr. Biol. 23(8): 633--643 (flybase.org/reports/FBrf0221412); Ito et al., 2013, Curr. Biol. 23(8): 644--655 (flybase.org/reports/FBrf0221438)</t>
        </is>
      </c>
      <c r="F346" t="inlineStr"/>
      <c r="G346" t="inlineStr"/>
      <c r="H346" t="inlineStr"/>
    </row>
    <row r="347">
      <c r="A347">
        <f>HYPERLINK("https://www.ebi.ac.uk/ols/ontologies/fbbt/terms?iri=http://purl.obolibrary.org/obo/FBbt_00050020","FBbt:00050020")</f>
        <v/>
      </c>
      <c r="B347" t="inlineStr">
        <is>
          <t>adult DM1 lineage neuron</t>
        </is>
      </c>
      <c r="C347" t="inlineStr">
        <is>
          <t>None</t>
        </is>
      </c>
      <c r="D347" t="inlineStr">
        <is>
          <t>Any neuron (FBbt:00005106) that is part of some adult brain (FBbt:00003624) and that develops from some neuroblast DM1 (FBbt:00050018).</t>
        </is>
      </c>
      <c r="E347" t="inlineStr">
        <is>
          <t>Viktorin et al., 2011, Dev. Biol. 356(2): 553--565 (flybase.org/reports/FBrf0214495); Yu et al., 2013, Curr. Biol. 23(8): 633--643 (flybase.org/reports/FBrf0221412); Ito et al., 2013, Curr. Biol. 23(8): 644--655 (flybase.org/reports/FBrf0221438)</t>
        </is>
      </c>
      <c r="F347" t="inlineStr"/>
      <c r="G347" t="inlineStr"/>
      <c r="H347" t="inlineStr"/>
    </row>
    <row r="348">
      <c r="A348">
        <f>HYPERLINK("https://www.ebi.ac.uk/ols/ontologies/fbbt/terms?iri=http://purl.obolibrary.org/obo/FBbt_00110563","FBbt:00110563")</f>
        <v/>
      </c>
      <c r="B348" t="inlineStr">
        <is>
          <t>adult MBp3 lineage neuron</t>
        </is>
      </c>
      <c r="C348" t="inlineStr">
        <is>
          <t>MB neuron</t>
        </is>
      </c>
      <c r="D348" t="inlineStr">
        <is>
          <t>Any neuron (FBbt:00005106) that is part of some adult brain (FBbt:00003624) and that develops from some neuroblast MBp3 (FBbt:00110561).</t>
        </is>
      </c>
      <c r="E348" t="inlineStr">
        <is>
          <t>Lee et al., 1999, Development 126(18): 4065--4076 (flybase.org/reports/FBrf0111409); Spindler and Hartenstein, 2011, Neural Dev. 6: 16 (flybase.org/reports/FBrf0213838); Yu et al., 2013, Curr. Biol. 23(8): 633--643 (flybase.org/reports/FBrf0221412); Ito et al., 2013, Curr. Biol. 23(8): 644--655 (flybase.org/reports/FBrf0221438)</t>
        </is>
      </c>
      <c r="F348" t="inlineStr"/>
      <c r="G348" t="inlineStr"/>
      <c r="H348" t="inlineStr"/>
    </row>
    <row r="349">
      <c r="A349">
        <f>HYPERLINK("https://www.ebi.ac.uk/ols/ontologies/fbbt/terms?iri=http://purl.obolibrary.org/obo/FBbt_00067014","FBbt:00067014")</f>
        <v/>
      </c>
      <c r="B349" t="inlineStr">
        <is>
          <t>adult antennal lobe projection neuron DC1 adPN</t>
        </is>
      </c>
      <c r="C349" t="inlineStr">
        <is>
          <t>DC1 adPN</t>
        </is>
      </c>
      <c r="D349" t="inlineStr">
        <is>
          <t>Antennal lobe projection neuron from the neuroblast ALad1 (FBbt:00067346) lineage whose dendrites innervate only antennal lobe glomerulus DC1. This neuron is born from the 11th division of the neuroblast ALad1 (FBbt:00067346) during embryogenesis (Yu et al., 2010).</t>
        </is>
      </c>
      <c r="E349" t="inlineStr">
        <is>
          <t>Marin et al., 2005, Development 132(4): 725--737 (flybase.org/reports/FBrf0183938); Jefferis et al., 2007, Cell 128(6): 1187--1203 (flybase.org/reports/FBrf0203179); Yu et al., 2010, PLoS Biol. 8(8): (flybase.org/reports/FBrf0211729)</t>
        </is>
      </c>
      <c r="F349" t="inlineStr"/>
      <c r="G349" t="inlineStr"/>
      <c r="H349" t="inlineStr"/>
    </row>
    <row r="350">
      <c r="A350">
        <f>HYPERLINK("https://www.ebi.ac.uk/ols/ontologies/fbbt/terms?iri=http://purl.obolibrary.org/obo/FBbt_00003766","FBbt:00003766")</f>
        <v/>
      </c>
      <c r="B350" t="inlineStr">
        <is>
          <t>Pdf neuron close to tritocerebrum</t>
        </is>
      </c>
      <c r="C350" t="inlineStr">
        <is>
          <t>PDFTri; pigment-dispersing hormone-immunoreactive neuron close to tritocerebrum</t>
        </is>
      </c>
      <c r="D350" t="inlineStr">
        <is>
          <t>Neuron located anteroventrally to the adult tritocerebrum that expresses Pdf (FBgn0023178) strongly until 24hrs after eclosion, after which Pdf immunoreactivity in the soma disappears. Within 2-4 days post-eclosion, Pdf immunoreactivity is also lost from the arborizations.</t>
        </is>
      </c>
      <c r="E350" t="inlineStr">
        <is>
          <t>Helfrich-Forster, 1997, J. Comp. Neurol. 380(3): 335--354 (flybase.org/reports/FBrf0093121)</t>
        </is>
      </c>
      <c r="F350" t="inlineStr"/>
      <c r="G350" t="inlineStr"/>
      <c r="H350" t="inlineStr"/>
    </row>
    <row r="351">
      <c r="A351">
        <f>HYPERLINK("https://www.ebi.ac.uk/ols/ontologies/fbbt/terms?iri=http://purl.obolibrary.org/obo/FBbt_00050165","FBbt:00050165")</f>
        <v/>
      </c>
      <c r="B351" t="inlineStr">
        <is>
          <t>adult PSp2 lineage neuron</t>
        </is>
      </c>
      <c r="C351" t="inlineStr">
        <is>
          <t>P2d neuron</t>
        </is>
      </c>
      <c r="D351" t="inlineStr">
        <is>
          <t>Any neuron (FBbt:00005106) that is part of some adult brain (FBbt:00003624) and that develops from some neuroblast PSp2 (FBbt:00050163).</t>
        </is>
      </c>
      <c r="E351" t="inlineStr">
        <is>
          <t>Yu et al., 2013, Curr. Biol. 23(8): 633--643 (flybase.org/reports/FBrf0221412); Ito et al., 2013, Curr. Biol. 23(8): 644--655 (flybase.org/reports/FBrf0221438)</t>
        </is>
      </c>
      <c r="F351" t="inlineStr"/>
      <c r="G351" t="inlineStr"/>
      <c r="H351" t="inlineStr"/>
    </row>
    <row r="352">
      <c r="A352">
        <f>HYPERLINK("https://www.ebi.ac.uk/ols/ontologies/fbbt/terms?iri=http://purl.obolibrary.org/obo/FBbt_00050162","FBbt:00050162")</f>
        <v/>
      </c>
      <c r="B352" t="inlineStr">
        <is>
          <t>adult VPNp&amp;v1 lineage neuron</t>
        </is>
      </c>
      <c r="C352" t="inlineStr">
        <is>
          <t>VPNp_v1 lineage neuron</t>
        </is>
      </c>
      <c r="D352" t="inlineStr">
        <is>
          <t>Any neuron (FBbt:00005106) that is part of some adult brain (FBbt:00003624) and that develops from some neuroblast VPNp&amp;v1 (FBbt:00050160).</t>
        </is>
      </c>
      <c r="E352" t="inlineStr">
        <is>
          <t>Yu et al., 2013, Curr. Biol. 23(8): 633--643 (flybase.org/reports/FBrf0221412); Ito et al., 2013, Curr. Biol. 23(8): 644--655 (flybase.org/reports/FBrf0221438)</t>
        </is>
      </c>
      <c r="F352" t="inlineStr"/>
      <c r="G352" t="inlineStr"/>
      <c r="H352" t="inlineStr"/>
    </row>
    <row r="353">
      <c r="A353">
        <f>HYPERLINK("https://www.ebi.ac.uk/ols/ontologies/fbbt/terms?iri=http://purl.obolibrary.org/obo/FBbt_00110566","FBbt:00110566")</f>
        <v/>
      </c>
      <c r="B353" t="inlineStr">
        <is>
          <t>adult MBp4 lineage neuron</t>
        </is>
      </c>
      <c r="C353" t="inlineStr">
        <is>
          <t>MB neuron</t>
        </is>
      </c>
      <c r="D353" t="inlineStr">
        <is>
          <t>Any neuron (FBbt:00005106) that is part of some adult brain (FBbt:00003624) and that develops from some neuroblast MBp4 (FBbt:00110564).</t>
        </is>
      </c>
      <c r="E353" t="inlineStr">
        <is>
          <t>Lee et al., 1999, Development 126(18): 4065--4076 (flybase.org/reports/FBrf0111409); Spindler and Hartenstein, 2011, Neural Dev. 6: 16 (flybase.org/reports/FBrf0213838); Yu et al., 2013, Curr. Biol. 23(8): 633--643 (flybase.org/reports/FBrf0221412); Ito et al., 2013, Curr. Biol. 23(8): 644--655 (flybase.org/reports/FBrf0221438)</t>
        </is>
      </c>
      <c r="F353" t="inlineStr"/>
      <c r="G353" t="inlineStr"/>
      <c r="H353" t="inlineStr"/>
    </row>
    <row r="354">
      <c r="A354">
        <f>HYPERLINK("https://www.ebi.ac.uk/ols/ontologies/fbbt/terms?iri=http://purl.obolibrary.org/obo/FBbt_00110953","FBbt:00110953")</f>
        <v/>
      </c>
      <c r="B354" t="inlineStr">
        <is>
          <t>adult serotonergic SE3 neuron</t>
        </is>
      </c>
      <c r="C354" t="inlineStr">
        <is>
          <t>None</t>
        </is>
      </c>
      <c r="D354" t="inlineStr">
        <is>
          <t>Adult serotonergic SE3 neuron whose cell body is located in the posteriolateral subesophageal ganglion, close to the midline (Valles and White, 1988). This cluster consists of three cells (Giang et al., 2011).</t>
        </is>
      </c>
      <c r="E354" t="inlineStr">
        <is>
          <t>Valles and White, 1988, J. Comp. Neurol. 268(3): 414--428 (flybase.org/reports/FBrf0048551); Giang et al., 2011, J. Neurogenet. 25(1-2): 17--26 (flybase.org/reports/FBrf0213697)</t>
        </is>
      </c>
      <c r="F354" t="inlineStr"/>
      <c r="G354" t="inlineStr"/>
      <c r="H354" t="inlineStr"/>
    </row>
    <row r="355">
      <c r="A355">
        <f>HYPERLINK("https://www.ebi.ac.uk/ols/ontologies/fbbt/terms?iri=http://purl.obolibrary.org/obo/FBbt_00007448","FBbt:00007448")</f>
        <v/>
      </c>
      <c r="B355" t="inlineStr">
        <is>
          <t>adult antennal lobe projection neuron VA7l adPN</t>
        </is>
      </c>
      <c r="C355" t="inlineStr">
        <is>
          <t>VA7l adPN</t>
        </is>
      </c>
      <c r="D355" t="inlineStr">
        <is>
          <t>Antennal lobe projection neuron from the ad neuroblast lineage whose dendrites innervate only antennal lobe glomerulus VA7l. This neuron is born from the 13th division of neuroblast ALad1 (FBbt:00067346) during embryogenesis (Yu et al., 2010).</t>
        </is>
      </c>
      <c r="E355" t="inlineStr">
        <is>
          <t>Marin et al., 2005, Development 132(4): 725--737 (flybase.org/reports/FBrf0183938); Yu et al., 2010, PLoS Biol. 8(8): (flybase.org/reports/FBrf0211729)</t>
        </is>
      </c>
      <c r="F355" t="inlineStr"/>
      <c r="G355" t="inlineStr"/>
      <c r="H355" t="inlineStr"/>
    </row>
    <row r="356">
      <c r="A356">
        <f>HYPERLINK("https://www.ebi.ac.uk/ols/ontologies/fbbt/terms?iri=http://purl.obolibrary.org/obo/FBbt_00111291","FBbt:00111291")</f>
        <v/>
      </c>
      <c r="B356" t="inlineStr">
        <is>
          <t>antennal mechanosensory and motor center AMMC PN2 projection neuron</t>
        </is>
      </c>
      <c r="C356" t="inlineStr">
        <is>
          <t>AMMC projection neuron 2; aPN2</t>
        </is>
      </c>
      <c r="D356" t="inlineStr">
        <is>
          <t>Projection neuron that innervates the ipsilateral zones C and E of the antennal mechanosensory and motor center (AMMC) and projects to the ipsilateral medial region of the inferior ventrolateral protocerebrum. The cell body is lateral to the one from AMMC projection neuron 3.</t>
        </is>
      </c>
      <c r="E356" t="inlineStr">
        <is>
          <t>Vaughan et al., 2014, Curr. Biol. 24(10): 1039--1049 (flybase.org/reports/FBrf0225096)</t>
        </is>
      </c>
      <c r="F356" t="inlineStr"/>
      <c r="G356" t="inlineStr"/>
      <c r="H356" t="inlineStr"/>
    </row>
    <row r="357">
      <c r="A357">
        <f>HYPERLINK("https://www.ebi.ac.uk/ols/ontologies/fbbt/terms?iri=http://purl.obolibrary.org/obo/FBbt_00067357","FBbt:00067357")</f>
        <v/>
      </c>
      <c r="B357" t="inlineStr">
        <is>
          <t>adult antennal lobe projection neuron VA1d adPN</t>
        </is>
      </c>
      <c r="C357" t="inlineStr">
        <is>
          <t>iACT (VA1d); VA1d adPN; mALT (VA1d)</t>
        </is>
      </c>
      <c r="D357" t="inlineStr">
        <is>
          <t>Antennal lobe projection neuron from the ad neuroblast lineage whose dendrites innervate only antennal lobe glomerulus VA1d. Neurons of this class are derived from the seventh larval division of the ALad1 neuroblast (FBbt:00067346) and their axons innervate the anterior/ventral region of the lateral horn (Marin et al., 2002, Tanaka et al., 2004).</t>
        </is>
      </c>
      <c r="E357" t="inlineStr">
        <is>
          <t>Jefferis et al., 2001, Nature 414(6860): 204--208 (flybase.org/reports/FBrf0141667); Marin et al., 2002, Cell 109(2): 243--255 (flybase.org/reports/FBrf0146917); Tanaka et al., 2004, Curr. Biol. 14(6): 449--457 (flybase.org/reports/FBrf0174482); Komiyama and Luo, 2007, Curr. Biol. 17(3): 278--285 (flybase.org/reports/FBrf0195086); Yu et al., 2010, PLoS Biol. 8(8): (flybase.org/reports/FBrf0211729)</t>
        </is>
      </c>
      <c r="F357" t="inlineStr"/>
      <c r="G357" t="inlineStr"/>
      <c r="H357" t="inlineStr"/>
    </row>
    <row r="358">
      <c r="A358">
        <f>HYPERLINK("https://www.ebi.ac.uk/ols/ontologies/fbbt/terms?iri=http://purl.obolibrary.org/obo/FBbt_00007447","FBbt:00007447")</f>
        <v/>
      </c>
      <c r="B358" t="inlineStr">
        <is>
          <t>adult antennal lobe projection neuron VA6 adPN</t>
        </is>
      </c>
      <c r="C358" t="inlineStr">
        <is>
          <t>mAPT (VA6); mALT (VA6); VA6 adPN; iACT (VA6)</t>
        </is>
      </c>
      <c r="D358" t="inlineStr">
        <is>
          <t>Antennal lobe projection neuron from the ad neuroblast lineage whose dendrites innervate only antennal lobe glomerulus VA6. This neuron is born during the eighth division of the neuroblast ALad1 (FBbt:00067346) during embryogenesis. The axons of these neurons innervate a small area at the ventroposterior edge of the lateral horn.</t>
        </is>
      </c>
      <c r="E358" t="inlineStr">
        <is>
          <t>Tanaka et al., 2004, Curr. Biol. 14(6): 449--457 (flybase.org/reports/FBrf0174482); Marin et al., 2005, Development 132(4): 725--737 (flybase.org/reports/FBrf0183938)</t>
        </is>
      </c>
      <c r="F358" t="inlineStr"/>
      <c r="G358" t="inlineStr"/>
      <c r="H358" t="inlineStr"/>
    </row>
    <row r="359">
      <c r="A359">
        <f>HYPERLINK("https://www.ebi.ac.uk/ols/ontologies/fbbt/terms?iri=http://purl.obolibrary.org/obo/FBbt_00110951","FBbt:00110951")</f>
        <v/>
      </c>
      <c r="B359" t="inlineStr">
        <is>
          <t>adult serotonergic SE2 neuron</t>
        </is>
      </c>
      <c r="C359" t="inlineStr">
        <is>
          <t>None</t>
        </is>
      </c>
      <c r="D359" t="inlineStr">
        <is>
          <t>Adult serotonergic SE2 neuron whose cell body is located in the posteriolateral subesophageal ganglion (Valles and White, 1988). This cluster consists of three cells (Giang et al., 2011).</t>
        </is>
      </c>
      <c r="E359" t="inlineStr">
        <is>
          <t>Valles and White, 1988, J. Comp. Neurol. 268(3): 414--428 (flybase.org/reports/FBrf0048551); Giang et al., 2011, J. Neurogenet. 25(1-2): 17--26 (flybase.org/reports/FBrf0213697)</t>
        </is>
      </c>
      <c r="F359" t="inlineStr"/>
      <c r="G359" t="inlineStr"/>
      <c r="H359" t="inlineStr"/>
    </row>
    <row r="360">
      <c r="A360">
        <f>HYPERLINK("https://www.ebi.ac.uk/ols/ontologies/fbbt/terms?iri=http://purl.obolibrary.org/obo/FBbt_00067358","FBbt:00067358")</f>
        <v/>
      </c>
      <c r="B360" t="inlineStr">
        <is>
          <t>adult antennal lobe projection neuron VM7 adPN</t>
        </is>
      </c>
      <c r="C360" t="inlineStr">
        <is>
          <t>VM7 adPN</t>
        </is>
      </c>
      <c r="D360" t="inlineStr">
        <is>
          <t>Antennal lobe projection neuron from the ad neuroblast lineage whose dendrites innervate only antennal lobe glomerulus VM7. Neurons of this class are derived from the 10th larval division of the neuroblast ALad1 (FBbt:00067346) (Yu et al., 2010).</t>
        </is>
      </c>
      <c r="E360" t="inlineStr">
        <is>
          <t>Jefferis et al., 2001, Nature 414(6860): 204--208 (flybase.org/reports/FBrf0141667); Komiyama and Luo, 2007, Curr. Biol. 17(3): 278--285 (flybase.org/reports/FBrf0195086)</t>
        </is>
      </c>
      <c r="F360" t="inlineStr"/>
      <c r="G360" t="inlineStr"/>
      <c r="H360" t="inlineStr"/>
    </row>
    <row r="361">
      <c r="A361">
        <f>HYPERLINK("https://www.ebi.ac.uk/ols/ontologies/fbbt/terms?iri=http://purl.obolibrary.org/obo/FBbt_00007446","FBbt:00007446")</f>
        <v/>
      </c>
      <c r="B361" t="inlineStr">
        <is>
          <t>adult antennal lobe projection neuron VA4 lPN</t>
        </is>
      </c>
      <c r="C361" t="inlineStr">
        <is>
          <t>VA4 lPN; iACT (VA4); mALT (VA4)</t>
        </is>
      </c>
      <c r="D361" t="inlineStr">
        <is>
          <t>Antennal lobe projection neuron from the lateral antennal lobe neuroblast lineage whose dendrites innervate only antennal lobe glomerulus VA4. The axons of these neurons innervate a small area at the dorsoposterior edge of the lateral horn.</t>
        </is>
      </c>
      <c r="E361" t="inlineStr">
        <is>
          <t>Wong et al., 2002, Cell 109(2): 229--241 (flybase.org/reports/FBrf0146916); Tanaka et al., 2004, Curr. Biol. 14(6): 449--457 (flybase.org/reports/FBrf0174482); Hong et al., 2009, Nat. Neurosci. 12(12): 1542--1550 (flybase.org/reports/FBrf0209355)</t>
        </is>
      </c>
      <c r="F361" t="inlineStr"/>
      <c r="G361" t="inlineStr"/>
      <c r="H361" t="inlineStr"/>
    </row>
    <row r="362">
      <c r="A362">
        <f>HYPERLINK("https://www.ebi.ac.uk/ols/ontologies/fbbt/terms?iri=http://purl.obolibrary.org/obo/FBbt_00050028","FBbt:00050028")</f>
        <v/>
      </c>
      <c r="B362" t="inlineStr">
        <is>
          <t>adult LHa1 lineage neuron</t>
        </is>
      </c>
      <c r="C362" t="inlineStr">
        <is>
          <t>None</t>
        </is>
      </c>
      <c r="D362" t="inlineStr">
        <is>
          <t>Any neuron (FBbt:00005106) that is part of some adult brain (FBbt:00003624) and that develops from some neuroblast LHa1 (FBbt:00050026).</t>
        </is>
      </c>
      <c r="E362" t="inlineStr">
        <is>
          <t>Yu et al., 2013, Curr. Biol. 23(8): 633--643 (flybase.org/reports/FBrf0221412); Ito et al., 2013, Curr. Biol. 23(8): 644--655 (flybase.org/reports/FBrf0221438)</t>
        </is>
      </c>
      <c r="F362" t="inlineStr"/>
      <c r="G362" t="inlineStr"/>
      <c r="H362" t="inlineStr"/>
    </row>
    <row r="363">
      <c r="A363">
        <f>HYPERLINK("https://www.ebi.ac.uk/ols/ontologies/fbbt/terms?iri=http://purl.obolibrary.org/obo/FBbt_00067355","FBbt:00067355")</f>
        <v/>
      </c>
      <c r="B363" t="inlineStr">
        <is>
          <t>adult antennal lobe projection neuron D adPN</t>
        </is>
      </c>
      <c r="C363" t="inlineStr">
        <is>
          <t>D adPN</t>
        </is>
      </c>
      <c r="D363" t="inlineStr">
        <is>
          <t>Antennal lobe projection neuron from the ad neuroblast lineage whose dendrites innervate only antennal lobe glomerulus D. This neuron is derived from the fourth larval division of the neuroblast ALad1 (FBbt:00067346) (Yu et al., 2010).</t>
        </is>
      </c>
      <c r="E363" t="inlineStr">
        <is>
          <t>Jefferis et al., 2001, Nature 414(6860): 204--208 (flybase.org/reports/FBrf0141667); Yu et al., 2010, PLoS Biol. 8(8): (flybase.org/reports/FBrf0211729)</t>
        </is>
      </c>
      <c r="F363" t="inlineStr"/>
      <c r="G363" t="inlineStr"/>
      <c r="H363" t="inlineStr"/>
    </row>
    <row r="364">
      <c r="A364">
        <f>HYPERLINK("https://www.ebi.ac.uk/ols/ontologies/fbbt/terms?iri=http://purl.obolibrary.org/obo/FBbt_00110367","FBbt:00110367")</f>
        <v/>
      </c>
      <c r="B364" t="inlineStr">
        <is>
          <t>adult SLPpl4 lineage neuron</t>
        </is>
      </c>
      <c r="C364" t="inlineStr">
        <is>
          <t>None</t>
        </is>
      </c>
      <c r="D364" t="inlineStr">
        <is>
          <t>Any neuron (FBbt:00005106) that is part of some adult brain (FBbt:00003624) and that develops from some neuroblast SLPpl4 (FBbt:00110365).</t>
        </is>
      </c>
      <c r="E364" t="inlineStr">
        <is>
          <t>Ito et al., 2013, Curr. Biol. 23(8): 644--655 (flybase.org/reports/FBrf0221438)</t>
        </is>
      </c>
      <c r="F364" t="inlineStr"/>
      <c r="G364" t="inlineStr"/>
      <c r="H364" t="inlineStr"/>
    </row>
    <row r="365">
      <c r="A365">
        <f>HYPERLINK("https://www.ebi.ac.uk/ols/ontologies/fbbt/terms?iri=http://purl.obolibrary.org/obo/FBbt_00067356","FBbt:00067356")</f>
        <v/>
      </c>
      <c r="B365" t="inlineStr">
        <is>
          <t>adult antennal lobe projection neuron VA3 adPN</t>
        </is>
      </c>
      <c r="C365" t="inlineStr">
        <is>
          <t>mAPT (VA3); VA3 adPN</t>
        </is>
      </c>
      <c r="D365" t="inlineStr">
        <is>
          <t>Antennal lobe projection neuron from the ad neuroblast lineage whose dendrites innervate only antennal lobe glomerulus VA3. Neurons of this class derive from the fifth larval division of the neuroblast ALad1 (FBbt:00067346) (Yu et al., 2010).</t>
        </is>
      </c>
      <c r="E365" t="inlineStr">
        <is>
          <t>Jefferis et al., 2001, Nature 414(6860): 204--208 (flybase.org/reports/FBrf0141667); Komiyama and Luo, 2007, Curr. Biol. 17(3): 278--285 (flybase.org/reports/FBrf0195086); Yu et al., 2010, PLoS Biol. 8(8): (flybase.org/reports/FBrf0211729)</t>
        </is>
      </c>
      <c r="F365" t="inlineStr"/>
      <c r="G365" t="inlineStr"/>
      <c r="H365" t="inlineStr"/>
    </row>
    <row r="366">
      <c r="A366">
        <f>HYPERLINK("https://www.ebi.ac.uk/ols/ontologies/fbbt/terms?iri=http://purl.obolibrary.org/obo/FBbt_00067353","FBbt:00067353")</f>
        <v/>
      </c>
      <c r="B366" t="inlineStr">
        <is>
          <t>adult antennal lobe projection neuron DL1 adPN</t>
        </is>
      </c>
      <c r="C366" t="inlineStr">
        <is>
          <t>mALT (DL1); mAPT (DL1); DL1 adPN; iACT (DL1)</t>
        </is>
      </c>
      <c r="D366" t="inlineStr">
        <is>
          <t>Antennal lobe projection neuron from the ad neuroblast lineage whose dendrites innervate only antennal lobe glomerulus DL1. Neurons of this class are derived from the first larval division of the neuroblast ALad1 (FBbt:00067346) (Yu et al., 2010). The axons of these neurons innervate a small area at the ventroposterior edge of the lateral horn.</t>
        </is>
      </c>
      <c r="E366" t="inlineStr">
        <is>
          <t>Jefferis et al., 2001, Nature 414(6860): 204--208 (flybase.org/reports/FBrf0141667); Tanaka et al., 2004, Curr. Biol. 14(6): 449--457 (flybase.org/reports/FBrf0174482); Marin et al., 2005, Development 132(4): 725--737 (flybase.org/reports/FBrf0183938); Komiyama and Luo, 2007, Curr. Biol. 17(3): 278--285 (flybase.org/reports/FBrf0195086); Yu et al., 2010, PLoS Biol. 8(8): (flybase.org/reports/FBrf0211729)</t>
        </is>
      </c>
      <c r="F366" t="inlineStr"/>
      <c r="G366" t="inlineStr"/>
      <c r="H366" t="inlineStr"/>
    </row>
    <row r="367">
      <c r="A367">
        <f>HYPERLINK("https://www.ebi.ac.uk/ols/ontologies/fbbt/terms?iri=http://purl.obolibrary.org/obo/FBbt_00110957","FBbt:00110957")</f>
        <v/>
      </c>
      <c r="B367" t="inlineStr">
        <is>
          <t>adult serotonergic SP2 neuron</t>
        </is>
      </c>
      <c r="C367" t="inlineStr">
        <is>
          <t>None</t>
        </is>
      </c>
      <c r="D367" t="inlineStr">
        <is>
          <t>Adult serotonergic SP neuron whose cell body is located in the anterior medial protocerebrum, posterior to the cell bodies of SP1 neurons (Valles and White, 1988). There are approximately five of these neurons per SP2 cluster (Giang et al., 2011).</t>
        </is>
      </c>
      <c r="E367" t="inlineStr">
        <is>
          <t>Valles and White, 1988, J. Comp. Neurol. 268(3): 414--428 (flybase.org/reports/FBrf0048551); Giang et al., 2011, J. Neurogenet. 25(1-2): 17--26 (flybase.org/reports/FBrf0213697)</t>
        </is>
      </c>
      <c r="F367" t="inlineStr"/>
      <c r="G367" t="inlineStr"/>
      <c r="H367" t="inlineStr"/>
    </row>
    <row r="368">
      <c r="A368">
        <f>HYPERLINK("https://www.ebi.ac.uk/ols/ontologies/fbbt/terms?iri=http://purl.obolibrary.org/obo/FBbt_00007444","FBbt:00007444")</f>
        <v/>
      </c>
      <c r="B368" t="inlineStr">
        <is>
          <t>adult antennal lobe projection neuron VL1 vPN</t>
        </is>
      </c>
      <c r="C368" t="inlineStr">
        <is>
          <t>VL1 vPN</t>
        </is>
      </c>
      <c r="D368" t="inlineStr">
        <is>
          <t>Antennal lobe projection neuron from the ventral neuroblast lineage whose dendrites innervate only antennal lobe glomerulus VL1. Its axon exhibits a diffuse and highly complex pattern of arborization along the ventral border of the lateral horn.</t>
        </is>
      </c>
      <c r="E368" t="inlineStr">
        <is>
          <t>Marin et al., 2002, Cell 109(2): 243--255 (flybase.org/reports/FBrf0146917)</t>
        </is>
      </c>
      <c r="F368" t="inlineStr"/>
      <c r="G368" t="inlineStr"/>
      <c r="H368" t="inlineStr"/>
    </row>
    <row r="369">
      <c r="A369">
        <f>HYPERLINK("https://www.ebi.ac.uk/ols/ontologies/fbbt/terms?iri=http://purl.obolibrary.org/obo/FBbt_00067354","FBbt:00067354")</f>
        <v/>
      </c>
      <c r="B369" t="inlineStr">
        <is>
          <t>adult antennal lobe projection neuron DC2 adPN</t>
        </is>
      </c>
      <c r="C369" t="inlineStr">
        <is>
          <t>DC2 adPN</t>
        </is>
      </c>
      <c r="D369" t="inlineStr">
        <is>
          <t>Antennal lobe projection neuron from the ad neuroblast lineage whose dendrites innervate only antennal lobe glomerulus DC2. This neuron is derived from the third larval division of the neuroblast ALad1 (FBbt:00067346) (Yu et al., 2010).</t>
        </is>
      </c>
      <c r="E369" t="inlineStr">
        <is>
          <t>Jefferis et al., 2001, Nature 414(6860): 204--208 (flybase.org/reports/FBrf0141667); Yu et al., 2010, PLoS Biol. 8(8): (flybase.org/reports/FBrf0211729)</t>
        </is>
      </c>
      <c r="F369" t="inlineStr"/>
      <c r="G369" t="inlineStr"/>
      <c r="H369" t="inlineStr"/>
    </row>
    <row r="370">
      <c r="A370">
        <f>HYPERLINK("https://www.ebi.ac.uk/ols/ontologies/fbbt/terms?iri=http://purl.obolibrary.org/obo/FBbt_00110560","FBbt:00110560")</f>
        <v/>
      </c>
      <c r="B370" t="inlineStr">
        <is>
          <t>adult MBp2 lineage neuron</t>
        </is>
      </c>
      <c r="C370" t="inlineStr">
        <is>
          <t>MB neuron</t>
        </is>
      </c>
      <c r="D370" t="inlineStr">
        <is>
          <t>Any neuron (FBbt:00005106) that is part of some adult brain (FBbt:00003624) and that develops from some neuroblast MBp2 (FBbt:00110558).</t>
        </is>
      </c>
      <c r="E370" t="inlineStr">
        <is>
          <t>Lee et al., 1999, Development 126(18): 4065--4076 (flybase.org/reports/FBrf0111409); Spindler and Hartenstein, 2011, Neural Dev. 6: 16 (flybase.org/reports/FBrf0213838); Yu et al., 2013, Curr. Biol. 23(8): 633--643 (flybase.org/reports/FBrf0221412); Ito et al., 2013, Curr. Biol. 23(8): 644--655 (flybase.org/reports/FBrf0221438)</t>
        </is>
      </c>
      <c r="F370" t="inlineStr"/>
      <c r="G370" t="inlineStr"/>
      <c r="H370" t="inlineStr"/>
    </row>
    <row r="371">
      <c r="A371">
        <f>HYPERLINK("https://www.ebi.ac.uk/ols/ontologies/fbbt/terms?iri=http://purl.obolibrary.org/obo/FBbt_00007443","FBbt:00007443")</f>
        <v/>
      </c>
      <c r="B371" t="inlineStr">
        <is>
          <t>adult antennal lobe projection neuron DL6 adPN</t>
        </is>
      </c>
      <c r="C371" t="inlineStr">
        <is>
          <t>DL6 adPN</t>
        </is>
      </c>
      <c r="D371" t="inlineStr">
        <is>
          <t>Antennal lobe projection neuron from the ad neuroblast lineage whose dendrites innervate only antennal lobe glomerulus DL6. This neuron is born from the ninth division of neuroblast ALad1 (FBbt:00067346) during embryogenesis (Yu et al., 2010).</t>
        </is>
      </c>
      <c r="E371" t="inlineStr">
        <is>
          <t>Marin et al., 2005, Development 132(4): 725--737 (flybase.org/reports/FBrf0183938); Yu et al., 2010, PLoS Biol. 8(8): (flybase.org/reports/FBrf0211729)</t>
        </is>
      </c>
      <c r="F371" t="inlineStr"/>
      <c r="G371" t="inlineStr"/>
      <c r="H371" t="inlineStr"/>
    </row>
    <row r="372">
      <c r="A372">
        <f>HYPERLINK("https://www.ebi.ac.uk/ols/ontologies/fbbt/terms?iri=http://purl.obolibrary.org/obo/FBbt_00003628","FBbt:00003628")</f>
        <v/>
      </c>
      <c r="B372" t="inlineStr">
        <is>
          <t>adult DN period neuron</t>
        </is>
      </c>
      <c r="C372" t="inlineStr">
        <is>
          <t>adult dorsal neuron; DN period neuron</t>
        </is>
      </c>
      <c r="D372" t="inlineStr">
        <is>
          <t>Period (FBgn0003068) expressing neuron of the adult brain whose cell body is located in the posterior, dorsal-most cortex.</t>
        </is>
      </c>
      <c r="E372" t="inlineStr">
        <is>
          <t>Ewer et al., 1992, J. Neurosci. 12(9): 3321--3349 (flybase.org/reports/FBrf0056576); Kaneko et al., 1997, J. Neurosci. 17(17): 6745--6760 (flybase.org/reports/FBrf0098279); Helfrich-Forster, 2003, Microsc. Res. Tech. 62(2): 94--102 (flybase.org/reports/FBrf0162235)</t>
        </is>
      </c>
      <c r="F372" t="inlineStr"/>
      <c r="G372" t="inlineStr"/>
      <c r="H372" t="inlineStr"/>
    </row>
    <row r="373">
      <c r="A373">
        <f>HYPERLINK("https://www.ebi.ac.uk/ols/ontologies/fbbt/terms?iri=http://purl.obolibrary.org/obo/FBbt_00111294","FBbt:00111294")</f>
        <v/>
      </c>
      <c r="B373" t="inlineStr">
        <is>
          <t>antennal mechanosensory and motor center local AMMC anteromedial neuron</t>
        </is>
      </c>
      <c r="C373" t="inlineStr">
        <is>
          <t>aLN(am); AMMC local neuron (anteromedial)</t>
        </is>
      </c>
      <c r="D373" t="inlineStr">
        <is>
          <t>Local neuron whose cell body is located in the cell body rind of the ventral region of the gnathal region. The primary neurite innervates the ipsilateral zones C and E of the antennal mechanosensory and motor center (AMMC). It is a GABAergic neuron.</t>
        </is>
      </c>
      <c r="E373" t="inlineStr">
        <is>
          <t>Vaughan et al., 2014, Curr. Biol. 24(10): 1039--1049 (flybase.org/reports/FBrf0225096)</t>
        </is>
      </c>
      <c r="F373" t="inlineStr"/>
      <c r="G373" t="inlineStr"/>
      <c r="H373" t="inlineStr"/>
    </row>
    <row r="374">
      <c r="A374">
        <f>HYPERLINK("https://www.ebi.ac.uk/ols/ontologies/fbbt/terms?iri=http://purl.obolibrary.org/obo/FBbt_00110955","FBbt:00110955")</f>
        <v/>
      </c>
      <c r="B374" t="inlineStr">
        <is>
          <t>adult serotonergic SP1 neuron</t>
        </is>
      </c>
      <c r="C374" t="inlineStr">
        <is>
          <t>None</t>
        </is>
      </c>
      <c r="D374" t="inlineStr">
        <is>
          <t>Adult serotonergic SP neuron whose cell body is located in the frontal rind of the anterior medial protocerebrum. Their axons enter the anterior neuropil (Valles and White, 1988). There are two to three neurons in this cluster (Giang et al., 2011).</t>
        </is>
      </c>
      <c r="E374" t="inlineStr">
        <is>
          <t>Valles and White, 1988, J. Comp. Neurol. 268(3): 414--428 (flybase.org/reports/FBrf0048551); Giang et al., 2011, J. Neurogenet. 25(1-2): 17--26 (flybase.org/reports/FBrf0213697)</t>
        </is>
      </c>
      <c r="F374" t="inlineStr"/>
      <c r="G374" t="inlineStr"/>
      <c r="H374" t="inlineStr"/>
    </row>
    <row r="375">
      <c r="A375">
        <f>HYPERLINK("https://www.ebi.ac.uk/ols/ontologies/fbbt/terms?iri=http://purl.obolibrary.org/obo/FBbt_00111293","FBbt:00111293")</f>
        <v/>
      </c>
      <c r="B375" t="inlineStr">
        <is>
          <t>antennal mechanosensory and motor center AMMC PN4 projection neuron</t>
        </is>
      </c>
      <c r="C375" t="inlineStr">
        <is>
          <t>aPN4; AMMC projection neuron 4</t>
        </is>
      </c>
      <c r="D375" t="inlineStr">
        <is>
          <t>Projection neuron that innervates the ipsilateral zone A of the antennal mechanosensory and motor center (AMMC) and projects to the ipsilateral posterior lateral protocerebrum. The cell body is located near the midline.</t>
        </is>
      </c>
      <c r="E375" t="inlineStr">
        <is>
          <t>Vaughan et al., 2014, Curr. Biol. 24(10): 1039--1049 (flybase.org/reports/FBrf0225096)</t>
        </is>
      </c>
      <c r="F375" t="inlineStr"/>
      <c r="G375" t="inlineStr"/>
      <c r="H375" t="inlineStr"/>
    </row>
    <row r="376">
      <c r="A376">
        <f>HYPERLINK("https://www.ebi.ac.uk/ols/ontologies/fbbt/terms?iri=http://purl.obolibrary.org/obo/FBbt_00067017","FBbt:00067017")</f>
        <v/>
      </c>
      <c r="B376" t="inlineStr">
        <is>
          <t>adult antennal lobe projection neuron DM3 adPN</t>
        </is>
      </c>
      <c r="C376" t="inlineStr">
        <is>
          <t>DM3 adPN</t>
        </is>
      </c>
      <c r="D376" t="inlineStr">
        <is>
          <t>Antennal lobe projection neuron from the ad neuroblast lineage whose dendrites innervate only antennal lobe glomerulus DM3. Neurons of this class are born during the 18th division of the neuroblast ALad1 (FBbt:00067346) during embryogenesis (Yu et al., 2010).</t>
        </is>
      </c>
      <c r="E376" t="inlineStr">
        <is>
          <t>Jefferis et al., 2001, Nature 414(6860): 204--208 (flybase.org/reports/FBrf0141667); Marin et al., 2005, Development 132(4): 725--737 (flybase.org/reports/FBrf0183938); Yu et al., 2010, PLoS Biol. 8(8): (flybase.org/reports/FBrf0211729)</t>
        </is>
      </c>
      <c r="F376" t="inlineStr"/>
      <c r="G376" t="inlineStr"/>
      <c r="H376" t="inlineStr"/>
    </row>
    <row r="377">
      <c r="A377">
        <f>HYPERLINK("https://www.ebi.ac.uk/ols/ontologies/fbbt/terms?iri=http://purl.obolibrary.org/obo/FBbt_00067352","FBbt:00067352")</f>
        <v/>
      </c>
      <c r="B377" t="inlineStr">
        <is>
          <t>adult antennal lobe projection neuron VA2 adPN</t>
        </is>
      </c>
      <c r="C377" t="inlineStr">
        <is>
          <t>VA2 adPN</t>
        </is>
      </c>
      <c r="D377" t="inlineStr">
        <is>
          <t>Antennal lobe projection neuron from the ad neuroblast lineage whose dendrites innervate only antennal lobe glomerulus VA2. This neuron is born from the 14th division of the neuroblast ALad1 (FBbt:00067346) during embryogenesis (Yu et al., 2010).</t>
        </is>
      </c>
      <c r="E377" t="inlineStr">
        <is>
          <t>Jefferis et al., 2001, Nature 414(6860): 204--208 (flybase.org/reports/FBrf0141667); Marin et al., 2005, Development 132(4): 725--737 (flybase.org/reports/FBrf0183938); Yu et al., 2010, PLoS Biol. 8(8): (flybase.org/reports/FBrf0211729)</t>
        </is>
      </c>
      <c r="F377" t="inlineStr"/>
      <c r="G377" t="inlineStr"/>
      <c r="H377" t="inlineStr"/>
    </row>
    <row r="378">
      <c r="A378">
        <f>HYPERLINK("https://www.ebi.ac.uk/ols/ontologies/fbbt/terms?iri=http://purl.obolibrary.org/obo/FBbt_00111292","FBbt:00111292")</f>
        <v/>
      </c>
      <c r="B378" t="inlineStr">
        <is>
          <t>antennal mechanosensory and motor center AMMC PN3 projection neuron</t>
        </is>
      </c>
      <c r="C378" t="inlineStr">
        <is>
          <t>AMMC projection neuron 3; aPN3</t>
        </is>
      </c>
      <c r="D378" t="inlineStr">
        <is>
          <t>Projection neuron whose cell body is located near the dorsal midline. The primary neurite projects ventrally and bifurcates in the vest to innervate the ipsilateral zones B and E of the antennal mechanosensory and motor center (AMMC). The neurites that arborize in zone B extend further into the ipsilateral medial region of the inferior ventrolateral protocerebrum (wedge).</t>
        </is>
      </c>
      <c r="E378" t="inlineStr">
        <is>
          <t>Vaughan et al., 2014, Curr. Biol. 24(10): 1039--1049 (flybase.org/reports/FBrf0225096); Matsuo et al., 2016, J. Comp. Neurol. 524(6): 1099--1164 (flybase.org/reports/FBrf0230862)</t>
        </is>
      </c>
      <c r="F378" t="inlineStr"/>
      <c r="G378" t="inlineStr"/>
      <c r="H378" t="inlineStr"/>
    </row>
    <row r="379">
      <c r="A379">
        <f>HYPERLINK("https://www.ebi.ac.uk/ols/ontologies/fbbt/terms?iri=http://purl.obolibrary.org/obo/FBbt_00007441","FBbt:00007441")</f>
        <v/>
      </c>
      <c r="B379" t="inlineStr">
        <is>
          <t>adult multiglomerular antennal lobe projection neuron</t>
        </is>
      </c>
      <c r="C379" t="inlineStr">
        <is>
          <t>oligoglomerular uACTI; polyglomerular uACTI</t>
        </is>
      </c>
      <c r="D379" t="inlineStr">
        <is>
          <t>Antennal lobe projection neuron of the adult that arborizes in more than one antennal lobe glomerulus.</t>
        </is>
      </c>
      <c r="E379" t="inlineStr"/>
      <c r="F379" t="inlineStr"/>
      <c r="G379" t="inlineStr"/>
      <c r="H379" t="inlineStr"/>
    </row>
    <row r="380">
      <c r="A380">
        <f>HYPERLINK("https://www.ebi.ac.uk/ols/ontologies/fbbt/terms?iri=http://purl.obolibrary.org/obo/FBbt_00050025","FBbt:00050025")</f>
        <v/>
      </c>
      <c r="B380" t="inlineStr">
        <is>
          <t>adult ALl1 lineage neuron</t>
        </is>
      </c>
      <c r="C380" t="inlineStr">
        <is>
          <t>adult lPN lineage neuron; adult BAlc lineage neuron; adult lAL lineage neuron; adult lNB lineage neuron</t>
        </is>
      </c>
      <c r="D380" t="inlineStr">
        <is>
          <t>Any neuron (FBbt:00005106) that is part of some adult brain (FBbt:00003624) and that develops from some neuroblast ALl1 (FBbt:00067347).</t>
        </is>
      </c>
      <c r="E380" t="inlineStr">
        <is>
          <t>Yu et al., 2013, Curr. Biol. 23(8): 633--643 (flybase.org/reports/FBrf0221412); Ito et al., 2013, Curr. Biol. 23(8): 644--655 (flybase.org/reports/FBrf0221438)</t>
        </is>
      </c>
      <c r="F380" t="inlineStr"/>
      <c r="G380" t="inlineStr"/>
      <c r="H380" t="inlineStr"/>
    </row>
    <row r="381">
      <c r="A381">
        <f>HYPERLINK("https://www.ebi.ac.uk/ols/ontologies/fbbt/terms?iri=http://purl.obolibrary.org/obo/FBbt_00111478","FBbt:00111478")</f>
        <v/>
      </c>
      <c r="B381" t="inlineStr">
        <is>
          <t>antennal mechanosensory and motor center AMMC Bi14 neuron</t>
        </is>
      </c>
      <c r="C381" t="inlineStr">
        <is>
          <t>AMMC-Bi14</t>
        </is>
      </c>
      <c r="D381" t="inlineStr">
        <is>
          <t>Ipsilateral neuron whose cell body is located in the cell body rind on the lateral region of the posterior lateral protocerebrum (PLP). The primary neurite extends anteriodorsally and forms three branches in the ventral posterior ventrolateral protocerebrum (PVLP). The lateral branch projects anteriodorsally to form postsynaptic terminals in the PVLP. The ventral branch projects anteriomedially to form postsynaptic terminals in the ventral anterior ventrolateral protocerebrum (AVLP) and antennal mechanosensory and motor center (AMMC) zones A and B. The dorsal branch turns medially to form presynaptic terminals in the gorget.</t>
        </is>
      </c>
      <c r="E381" t="inlineStr">
        <is>
          <t>Matsuo et al., 2016, J. Comp. Neurol. 524(6): 1099--1164 (flybase.org/reports/FBrf0230862)</t>
        </is>
      </c>
      <c r="F381" t="inlineStr"/>
      <c r="G381" t="inlineStr"/>
      <c r="H381" t="inlineStr"/>
    </row>
    <row r="382">
      <c r="A382">
        <f>HYPERLINK("https://www.ebi.ac.uk/ols/ontologies/fbbt/terms?iri=http://purl.obolibrary.org/obo/FBbt_00050227","FBbt:00050227")</f>
        <v/>
      </c>
      <c r="B382" t="inlineStr">
        <is>
          <t>adult VLPl2 lineage neuron</t>
        </is>
      </c>
      <c r="C382" t="inlineStr">
        <is>
          <t>None</t>
        </is>
      </c>
      <c r="D382" t="inlineStr">
        <is>
          <t>Any neuron (FBbt:00005106) that is part of some adult brain (FBbt:00003624) and that develops from some neuroblast VLPl2 (FBbt:00050225).</t>
        </is>
      </c>
      <c r="E382" t="inlineStr">
        <is>
          <t>Yu et al., 2013, Curr. Biol. 23(8): 633--643 (flybase.org/reports/FBrf0221412); Ito et al., 2013, Curr. Biol. 23(8): 644--655 (flybase.org/reports/FBrf0221438)</t>
        </is>
      </c>
      <c r="F382" t="inlineStr"/>
      <c r="G382" t="inlineStr"/>
      <c r="H382" t="inlineStr"/>
    </row>
    <row r="383">
      <c r="A383">
        <f>HYPERLINK("https://www.ebi.ac.uk/ols/ontologies/fbbt/terms?iri=http://purl.obolibrary.org/obo/FBbt_00111477","FBbt:00111477")</f>
        <v/>
      </c>
      <c r="B383" t="inlineStr">
        <is>
          <t>antennal mechanosensory and motor center AMMC Bi13 neuron</t>
        </is>
      </c>
      <c r="C383" t="inlineStr">
        <is>
          <t>AMMC-Bi13</t>
        </is>
      </c>
      <c r="D383" t="inlineStr">
        <is>
          <t>Ipsilateral neuron whose cell body is located in the cell body rind on the lateral region of the lateral horn. The primary neurite extends ventromedially to arborize in the antennal mechanosensory and motor center (AMMC) zone A, anterior ventrolateral protocerebrum (AVLP) and wedge.</t>
        </is>
      </c>
      <c r="E383" t="inlineStr">
        <is>
          <t>Matsuo et al., 2016, J. Comp. Neurol. 524(6): 1099--1164 (flybase.org/reports/FBrf0230862)</t>
        </is>
      </c>
      <c r="F383" t="inlineStr"/>
      <c r="G383" t="inlineStr"/>
      <c r="H383" t="inlineStr"/>
    </row>
    <row r="384">
      <c r="A384">
        <f>HYPERLINK("https://www.ebi.ac.uk/ols/ontologies/fbbt/terms?iri=http://purl.obolibrary.org/obo/FBbt_00110409","FBbt:00110409")</f>
        <v/>
      </c>
      <c r="B384" t="inlineStr">
        <is>
          <t>adult VPNv3 lineage neuron</t>
        </is>
      </c>
      <c r="C384" t="inlineStr">
        <is>
          <t>None</t>
        </is>
      </c>
      <c r="D384" t="inlineStr">
        <is>
          <t>Any neuron (FBbt:00005106) that is part of some adult brain (FBbt:00003624) and that develops from some neuroblast VPNv3 (FBbt:00110407).</t>
        </is>
      </c>
      <c r="E384" t="inlineStr">
        <is>
          <t>Ito et al., 2013, Curr. Biol. 23(8): 644--655 (flybase.org/reports/FBrf0221438)</t>
        </is>
      </c>
      <c r="F384" t="inlineStr"/>
      <c r="G384" t="inlineStr"/>
      <c r="H384" t="inlineStr"/>
    </row>
    <row r="385">
      <c r="A385">
        <f>HYPERLINK("https://www.ebi.ac.uk/ols/ontologies/fbbt/terms?iri=http://purl.obolibrary.org/obo/FBbt_00050224","FBbt:00050224")</f>
        <v/>
      </c>
      <c r="B385" t="inlineStr">
        <is>
          <t>adult AOTUv1 lineage neuron</t>
        </is>
      </c>
      <c r="C385" t="inlineStr">
        <is>
          <t>None</t>
        </is>
      </c>
      <c r="D385" t="inlineStr">
        <is>
          <t>Any neuron (FBbt:00005106) that is part of some adult brain (FBbt:00003624) and that develops from some neuroblast AOTUv1 (FBbt:00050222).</t>
        </is>
      </c>
      <c r="E385" t="inlineStr">
        <is>
          <t>Yu et al., 2013, Curr. Biol. 23(8): 633--643 (flybase.org/reports/FBrf0221412); Ito et al., 2013, Curr. Biol. 23(8): 644--655 (flybase.org/reports/FBrf0221438)</t>
        </is>
      </c>
      <c r="F385" t="inlineStr"/>
      <c r="G385" t="inlineStr"/>
      <c r="H385" t="inlineStr"/>
    </row>
    <row r="386">
      <c r="A386">
        <f>HYPERLINK("https://www.ebi.ac.uk/ols/ontologies/fbbt/terms?iri=http://purl.obolibrary.org/obo/FBbt_00111476","FBbt:00111476")</f>
        <v/>
      </c>
      <c r="B386" t="inlineStr">
        <is>
          <t>antennal mechanosensory and motor center AMMC Bi12 neuron</t>
        </is>
      </c>
      <c r="C386" t="inlineStr">
        <is>
          <t>AMMC-Bi12</t>
        </is>
      </c>
      <c r="D386" t="inlineStr">
        <is>
          <t>Ipsilateral neuron whose cell body is located in the cell body rind on the ventrolateral region of the anterior ventrolateral protocerebrum (AVLP). The primary neurite extends posteriolaterally and bifurcates in the ventral AVLP. The dorsal branch forms postsynaptic terminals in the AVLP. The ventral branch projects to the antennal mechanosensory and motor center (AMMC) zones A and B, and forms postsynaptic terminals in the wedge, AVLP and posterior ventrolateral protocerebrum (PVLP).</t>
        </is>
      </c>
      <c r="E386" t="inlineStr">
        <is>
          <t>Matsuo et al., 2016, J. Comp. Neurol. 524(6): 1099--1164 (flybase.org/reports/FBrf0230862)</t>
        </is>
      </c>
      <c r="F386" t="inlineStr"/>
      <c r="G386" t="inlineStr"/>
      <c r="H386" t="inlineStr"/>
    </row>
    <row r="387">
      <c r="A387">
        <f>HYPERLINK("https://www.ebi.ac.uk/ols/ontologies/fbbt/terms?iri=http://purl.obolibrary.org/obo/FBbt_00111475","FBbt:00111475")</f>
        <v/>
      </c>
      <c r="B387" t="inlineStr">
        <is>
          <t>antennal mechanosensory and motor center AMMC Bi11 neuron</t>
        </is>
      </c>
      <c r="C387" t="inlineStr">
        <is>
          <t>AMMC-Bi11</t>
        </is>
      </c>
      <c r="D387" t="inlineStr">
        <is>
          <t>Ipsilateral neuron whose cell body is located in the cell body rind on the ventrolateral region of the anterior ventrolateral protocerebrum (AVLP). The primary neurite extends posteriomedially and bifurcates in the ventral AVLP. The dorsal branch arborizes in the AVLP. The medial branch projects to the wedge and antennal mechanosensory and motor center (AMMC) zone A. Postsynaptic terminals are found in the AVLP, AMMC zone A and wedge.</t>
        </is>
      </c>
      <c r="E387" t="inlineStr">
        <is>
          <t>Matsuo et al., 2016, J. Comp. Neurol. 524(6): 1099--1164 (flybase.org/reports/FBrf0230862)</t>
        </is>
      </c>
      <c r="F387" t="inlineStr"/>
      <c r="G387" t="inlineStr"/>
      <c r="H387" t="inlineStr"/>
    </row>
    <row r="388">
      <c r="A388">
        <f>HYPERLINK("https://www.ebi.ac.uk/ols/ontologies/fbbt/terms?iri=http://purl.obolibrary.org/obo/FBbt_00007449","FBbt:00007449")</f>
        <v/>
      </c>
      <c r="B388" t="inlineStr">
        <is>
          <t>adult antennal lobe projection neuron VC2 lPN</t>
        </is>
      </c>
      <c r="C388" t="inlineStr">
        <is>
          <t>VC2 lPN</t>
        </is>
      </c>
      <c r="D388" t="inlineStr">
        <is>
          <t>Antennal lobe projection neuron from the lateral antennal lobe neuroblast lineage whose dendrites innervate only antennal lobe glomerulus VC2. The axons of these neurons innervate the lateral horn.</t>
        </is>
      </c>
      <c r="E388" t="inlineStr">
        <is>
          <t>Jefferis et al., 2007, Cell 128(6): 1187--1203 (flybase.org/reports/FBrf0203179); Hong et al., 2009, Nat. Neurosci. 12(12): 1542--1550 (flybase.org/reports/FBrf0209355)</t>
        </is>
      </c>
      <c r="F388" t="inlineStr"/>
      <c r="G388" t="inlineStr"/>
      <c r="H388" t="inlineStr"/>
    </row>
    <row r="389">
      <c r="A389">
        <f>HYPERLINK("https://www.ebi.ac.uk/ols/ontologies/fbbt/terms?iri=http://purl.obolibrary.org/obo/FBbt_00111479","FBbt:00111479")</f>
        <v/>
      </c>
      <c r="B389" t="inlineStr">
        <is>
          <t>antennal mechanosensory and motor center AMMC Bi15 neuron</t>
        </is>
      </c>
      <c r="C389" t="inlineStr">
        <is>
          <t>AMMC-Bi15</t>
        </is>
      </c>
      <c r="D389" t="inlineStr">
        <is>
          <t>Ipsilateral neuron whose cell body is located in the cell body rind on the posteriomedial region of the lobula. The primary neurite extends anterioventrally and forms postsynaptic terminals in the ventral posterior ventrolateral protocerebrum (PVLP), ventral anterior ventrolateral protocerebrum (AVLP) and antennal mechanosensory and motor center (AMMC) zone B. Arborization is also observed in the AMMC zone A.</t>
        </is>
      </c>
      <c r="E389" t="inlineStr">
        <is>
          <t>Matsuo et al., 2016, J. Comp. Neurol. 524(6): 1099--1164 (flybase.org/reports/FBrf0230862)</t>
        </is>
      </c>
      <c r="F389" t="inlineStr"/>
      <c r="G389" t="inlineStr"/>
      <c r="H389" t="inlineStr"/>
    </row>
    <row r="390">
      <c r="A390">
        <f>HYPERLINK("https://www.ebi.ac.uk/ols/ontologies/fbbt/terms?iri=http://purl.obolibrary.org/obo/FBbt_00050221","FBbt:00050221")</f>
        <v/>
      </c>
      <c r="B390" t="inlineStr">
        <is>
          <t>adult SLPal1 lineage neuron</t>
        </is>
      </c>
      <c r="C390" t="inlineStr">
        <is>
          <t>None</t>
        </is>
      </c>
      <c r="D390" t="inlineStr">
        <is>
          <t>Any neuron (FBbt:00005106) that is part of some adult brain (FBbt:00003624) and that develops from some neuroblast SLPal1 (FBbt:00050219).</t>
        </is>
      </c>
      <c r="E390" t="inlineStr">
        <is>
          <t>Yu et al., 2013, Curr. Biol. 23(8): 633--643 (flybase.org/reports/FBrf0221412); Ito et al., 2013, Curr. Biol. 23(8): 644--655 (flybase.org/reports/FBrf0221438)</t>
        </is>
      </c>
      <c r="F390" t="inlineStr"/>
      <c r="G390" t="inlineStr"/>
      <c r="H390" t="inlineStr"/>
    </row>
    <row r="391">
      <c r="A391">
        <f>HYPERLINK("https://www.ebi.ac.uk/ols/ontologies/fbbt/terms?iri=http://purl.obolibrary.org/obo/FBbt_00110400","FBbt:00110400")</f>
        <v/>
      </c>
      <c r="B391" t="inlineStr">
        <is>
          <t>adult VPNp4 lineage neuron</t>
        </is>
      </c>
      <c r="C391" t="inlineStr">
        <is>
          <t>None</t>
        </is>
      </c>
      <c r="D391" t="inlineStr">
        <is>
          <t>Any neuron (FBbt:00005106) that is part of some adult brain (FBbt:00003624) and that develops from some neuroblast VPNp4 (FBbt:00110398).</t>
        </is>
      </c>
      <c r="E391" t="inlineStr">
        <is>
          <t>Ito et al., 2013, Curr. Biol. 23(8): 644--655 (flybase.org/reports/FBrf0221438)</t>
        </is>
      </c>
      <c r="F391" t="inlineStr"/>
      <c r="G391" t="inlineStr"/>
      <c r="H391" t="inlineStr"/>
    </row>
    <row r="392">
      <c r="A392">
        <f>HYPERLINK("https://www.ebi.ac.uk/ols/ontologies/fbbt/terms?iri=http://purl.obolibrary.org/obo/FBbt_00050171","FBbt:00050171")</f>
        <v/>
      </c>
      <c r="B392" t="inlineStr">
        <is>
          <t>adult PBp1 lineage neuron</t>
        </is>
      </c>
      <c r="C392" t="inlineStr">
        <is>
          <t>None</t>
        </is>
      </c>
      <c r="D392" t="inlineStr">
        <is>
          <t>Any neuron (FBbt:00005106) that is part of some adult brain (FBbt:00003624) and that develops from some neuroblast PBp1 (FBbt:00050169).</t>
        </is>
      </c>
      <c r="E392" t="inlineStr">
        <is>
          <t>Yu et al., 2013, Curr. Biol. 23(8): 633--643 (flybase.org/reports/FBrf0221412)</t>
        </is>
      </c>
      <c r="F392" t="inlineStr"/>
      <c r="G392" t="inlineStr"/>
      <c r="H392" t="inlineStr"/>
    </row>
    <row r="393">
      <c r="A393">
        <f>HYPERLINK("https://www.ebi.ac.uk/ols/ontologies/fbbt/terms?iri=http://purl.obolibrary.org/obo/FBbt_00111474","FBbt:00111474")</f>
        <v/>
      </c>
      <c r="B393" t="inlineStr">
        <is>
          <t>antennal mechanosensory and motor center AMMC Bi10 neuron</t>
        </is>
      </c>
      <c r="C393" t="inlineStr">
        <is>
          <t>AMMC-Bi10</t>
        </is>
      </c>
      <c r="D393" t="inlineStr">
        <is>
          <t>Ipsilateral neuron whose cell body is located in the cell body rind on the lateral region of the anterior ventrolateral protocerebrum (AVLP). The primary neurite extends ventromedially and bifurcates in the AVLP. The dorsal branch projects posteriomedially to form postsynaptic terminals in the AVLP and posterior ventrolateral protocerebrum (PVLP). The ventral branch projects ventromedially to form postsynaptic terminals in the anterior antennal mechanosensory and motor center (AMMC) zones A and B, and wedge, and presynaptic terminals in the saddle and in the gnathal ganglion.</t>
        </is>
      </c>
      <c r="E393" t="inlineStr">
        <is>
          <t>Matsuo et al., 2016, J. Comp. Neurol. 524(6): 1099--1164 (flybase.org/reports/FBrf0230862)</t>
        </is>
      </c>
      <c r="F393" t="inlineStr"/>
      <c r="G393" t="inlineStr"/>
      <c r="H393" t="inlineStr"/>
    </row>
    <row r="394">
      <c r="A394">
        <f>HYPERLINK("https://www.ebi.ac.uk/ols/ontologies/fbbt/terms?iri=http://purl.obolibrary.org/obo/FBbt_00110406","FBbt:00110406")</f>
        <v/>
      </c>
      <c r="B394" t="inlineStr">
        <is>
          <t>adult VPNv2 lineage neuron</t>
        </is>
      </c>
      <c r="C394" t="inlineStr">
        <is>
          <t>None</t>
        </is>
      </c>
      <c r="D394" t="inlineStr">
        <is>
          <t>Any neuron (FBbt:00005106) that is part of some adult brain (FBbt:00003624) and that develops from some neuroblast VPNv2 (FBbt:00110404).</t>
        </is>
      </c>
      <c r="E394" t="inlineStr">
        <is>
          <t>Ito et al., 2013, Curr. Biol. 23(8): 644--655 (flybase.org/reports/FBrf0221438)</t>
        </is>
      </c>
      <c r="F394" t="inlineStr"/>
      <c r="G394" t="inlineStr"/>
      <c r="H394" t="inlineStr"/>
    </row>
    <row r="395">
      <c r="A395">
        <f>HYPERLINK("https://www.ebi.ac.uk/ols/ontologies/fbbt/terms?iri=http://purl.obolibrary.org/obo/FBbt_00111473","FBbt:00111473")</f>
        <v/>
      </c>
      <c r="B395" t="inlineStr">
        <is>
          <t>antennal mechanosensory and motor center AMMC Bi9 neuron</t>
        </is>
      </c>
      <c r="C395" t="inlineStr">
        <is>
          <t>AMMC-Bi9</t>
        </is>
      </c>
      <c r="D395" t="inlineStr">
        <is>
          <t>Ipsilateral neuron whose cell body is located in the cell body rind on the lateral region of the anterior ventrolateral protocerebrum (AVLP). The primary neurite extends ventromedially and bifurcates in the AVLP. The dorsal branch projects posteriomedially to form postsynaptic terminals in the posterior ventrolateral protocerebrum (PVLP). The ventral branch projects medially to form postsynaptic terminals in the anterior antennal mechanosensory and motor center (AMMC) zones A and B, the wedge, AVLP and PVLP. It then extends further to form presynaptic terminals in the gnathal ganglion.</t>
        </is>
      </c>
      <c r="E395" t="inlineStr">
        <is>
          <t>Matsuo et al., 2016, J. Comp. Neurol. 524(6): 1099--1164 (flybase.org/reports/FBrf0230862)</t>
        </is>
      </c>
      <c r="F395" t="inlineStr"/>
      <c r="G395" t="inlineStr"/>
      <c r="H395" t="inlineStr"/>
    </row>
    <row r="396">
      <c r="A396">
        <f>HYPERLINK("https://www.ebi.ac.uk/ols/ontologies/fbbt/terms?iri=http://purl.obolibrary.org/obo/FBbt_00111472","FBbt:00111472")</f>
        <v/>
      </c>
      <c r="B396" t="inlineStr">
        <is>
          <t>antennal mechanosensory and motor center AMMC Bi8 neuron</t>
        </is>
      </c>
      <c r="C396" t="inlineStr">
        <is>
          <t>AMMC-Bi8</t>
        </is>
      </c>
      <c r="D396" t="inlineStr">
        <is>
          <t>Ipsilateral neuron whose cell body is located in the cell body rind on the lateral region of the anterior ventrolateral protocerebrum (AVLP). The primary neurite extends posterioventromedially to innervate the anterior antennal mechanosensory and motor center (AMMC) zones A and B and the wedge. It then extends further to form presynaptic terminals in the saddle and gnathal ganglion.</t>
        </is>
      </c>
      <c r="E396" t="inlineStr">
        <is>
          <t>Matsuo et al., 2016, J. Comp. Neurol. 524(6): 1099--1164 (flybase.org/reports/FBrf0230862)</t>
        </is>
      </c>
      <c r="F396" t="inlineStr"/>
      <c r="G396" t="inlineStr"/>
      <c r="H396" t="inlineStr"/>
    </row>
    <row r="397">
      <c r="A397">
        <f>HYPERLINK("https://www.ebi.ac.uk/ols/ontologies/fbbt/terms?iri=http://purl.obolibrary.org/obo/FBbt_00110403","FBbt:00110403")</f>
        <v/>
      </c>
      <c r="B397" t="inlineStr">
        <is>
          <t>adult VPNv1 lineage neuron</t>
        </is>
      </c>
      <c r="C397" t="inlineStr">
        <is>
          <t>None</t>
        </is>
      </c>
      <c r="D397" t="inlineStr">
        <is>
          <t>Any neuron (FBbt:00005106) that is part of some adult brain (FBbt:00003624) and that develops from some neuroblast VPNv1 (FBbt:00110401).</t>
        </is>
      </c>
      <c r="E397" t="inlineStr">
        <is>
          <t>Ito et al., 2013, Curr. Biol. 23(8): 644--655 (flybase.org/reports/FBrf0221438)</t>
        </is>
      </c>
      <c r="F397" t="inlineStr"/>
      <c r="G397" t="inlineStr"/>
      <c r="H397" t="inlineStr"/>
    </row>
    <row r="398">
      <c r="A398">
        <f>HYPERLINK("https://www.ebi.ac.uk/ols/ontologies/fbbt/terms?iri=http://purl.obolibrary.org/obo/FBbt_00111471","FBbt:00111471")</f>
        <v/>
      </c>
      <c r="B398" t="inlineStr">
        <is>
          <t>antennal mechanosensory and motor center AMMC Bi7 neuron</t>
        </is>
      </c>
      <c r="C398" t="inlineStr">
        <is>
          <t>AMMC-Bi7</t>
        </is>
      </c>
      <c r="D398" t="inlineStr">
        <is>
          <t>Ipsilateral neuron whose cell body is located in the cell body rind on the dorsal region of the anterior antennal mechanosensory and motor center (AMMC). The primary neurite extends medially and turns sharply, at the ventrolateral side of the lateral accessory lobe to project ventrolaterally and form postsynaptic terminals in the AMMC zone B. It then forms three branches: the medial one extends through the inferior AMMC commissure to form postsynaptic terminals in the ipsilateral AMMC zone E; the ventromedial branch forms postsynaptic terminals in the gnathal ganglion and presynaptic ones in the saddle; the dorsal branch projects posteriodorsally and turns laterally at the lateral side of the vest to form presynaptic terminals in the posterior ventrolateral protocerebrum (PVLP) glomerulus targeted by LC4 neurons.</t>
        </is>
      </c>
      <c r="E398" t="inlineStr">
        <is>
          <t>Matsuo et al., 2016, J. Comp. Neurol. 524(6): 1099--1164 (flybase.org/reports/FBrf0230862)</t>
        </is>
      </c>
      <c r="F398" t="inlineStr"/>
      <c r="G398" t="inlineStr"/>
      <c r="H398" t="inlineStr"/>
    </row>
    <row r="399">
      <c r="A399">
        <f>HYPERLINK("https://www.ebi.ac.uk/ols/ontologies/fbbt/terms?iri=http://purl.obolibrary.org/obo/FBbt_00110882","FBbt:00110882")</f>
        <v/>
      </c>
      <c r="B399" t="inlineStr">
        <is>
          <t>adult antennal lobe projection neuron DA2 lPN</t>
        </is>
      </c>
      <c r="C399" t="inlineStr">
        <is>
          <t>DA2 lPN</t>
        </is>
      </c>
      <c r="D399" t="inlineStr">
        <is>
          <t>Antennal lobe projection neuron from the lateral antennal lobe neuroblast lineage whose dendrites innervate only antennal lobe glomerulus DA2. The axons of these neurons innervate the posteriomedial region of the lateral horn.</t>
        </is>
      </c>
      <c r="E399" t="inlineStr">
        <is>
          <t>Wong et al., 2002, Cell 109(2): 229--241 (flybase.org/reports/FBrf0146916)</t>
        </is>
      </c>
      <c r="F399" t="inlineStr"/>
      <c r="G399" t="inlineStr"/>
      <c r="H399" t="inlineStr"/>
    </row>
    <row r="400">
      <c r="A400">
        <f>HYPERLINK("https://www.ebi.ac.uk/ols/ontologies/fbbt/terms?iri=http://purl.obolibrary.org/obo/FBbt_00111470","FBbt:00111470")</f>
        <v/>
      </c>
      <c r="B400" t="inlineStr">
        <is>
          <t>antennal mechanosensory and motor center AMMC Bi6 neuron</t>
        </is>
      </c>
      <c r="C400" t="inlineStr">
        <is>
          <t>AMMC-Bi6</t>
        </is>
      </c>
      <c r="D400" t="inlineStr">
        <is>
          <t>Ipsilateral neuron whose cell body is located in the cell body rind on the lateral region of the gnathal ganglion. The primary neurite extends ventromedially along the ventrolateral rim of the anterior gnathal ganglion. It then turns posteriodorsally to form postsynaptic terminals in the saddle and posterior gnathal ganglion. It further extends dorsolaterally to form postsynaptic terminals in the ipsilateral antennal mechanosensory and motor center (AMMC) zones A and B, wedge and anterior ventrolateral protocerebrum (AVLP).</t>
        </is>
      </c>
      <c r="E400" t="inlineStr">
        <is>
          <t>Matsuo et al., 2016, J. Comp. Neurol. 524(6): 1099--1164 (flybase.org/reports/FBrf0230862)</t>
        </is>
      </c>
      <c r="F400" t="inlineStr"/>
      <c r="G400" t="inlineStr"/>
      <c r="H400" t="inlineStr"/>
    </row>
    <row r="401">
      <c r="A401">
        <f>HYPERLINK("https://www.ebi.ac.uk/ols/ontologies/fbbt/terms?iri=http://purl.obolibrary.org/obo/FBbt_00067028","FBbt:00067028")</f>
        <v/>
      </c>
      <c r="B401" t="inlineStr">
        <is>
          <t>adult antennal lobe projection neuron DL5 adPN</t>
        </is>
      </c>
      <c r="C401" t="inlineStr">
        <is>
          <t>DL5 adPN</t>
        </is>
      </c>
      <c r="D401" t="inlineStr">
        <is>
          <t>Antennal lobe projection neuron from the embryonic born ad neuroblast lineage whose dendrites innervate only antennal lobe glomerulus DL5. This neuron is born from the 16th division of the neuroblast ALad1 (FBbt:00067346) during embryogenesis (Yu et al., 2010).</t>
        </is>
      </c>
      <c r="E401" t="inlineStr">
        <is>
          <t>Jefferis et al., 2001, Nature 414(6860): 204--208 (flybase.org/reports/FBrf0141667); Marin et al., 2005, Development 132(4): 725--737 (flybase.org/reports/FBrf0183938); Yu et al., 2010, PLoS Biol. 8(8): (flybase.org/reports/FBrf0211729)</t>
        </is>
      </c>
      <c r="F401" t="inlineStr"/>
      <c r="G401" t="inlineStr"/>
      <c r="H401" t="inlineStr"/>
    </row>
    <row r="402">
      <c r="A402">
        <f>HYPERLINK("https://www.ebi.ac.uk/ols/ontologies/fbbt/terms?iri=http://purl.obolibrary.org/obo/FBbt_00067363","FBbt:00067363")</f>
        <v/>
      </c>
      <c r="B402" t="inlineStr">
        <is>
          <t>adult antennal lobe projection neuron DA1 lPN</t>
        </is>
      </c>
      <c r="C402" t="inlineStr">
        <is>
          <t>iACT (DA1); DA1 lPN; mALT (DA1)</t>
        </is>
      </c>
      <c r="D402" t="inlineStr">
        <is>
          <t>Antennal lobe projection neuron from the lateral neuroblast lineage whose dendrites innervate only antennal lobe glomerulus DA1. The axons of these neurons innervate a small area at the anterior edge of the lateral horn.</t>
        </is>
      </c>
      <c r="E402" t="inlineStr">
        <is>
          <t>Marin et al., 2002, Cell 109(2): 243--255 (flybase.org/reports/FBrf0146917); Tanaka et al., 2004, Curr. Biol. 14(6): 449--457 (flybase.org/reports/FBrf0174482); Jefferis et al., 2007, Cell 128(6): 1187--1203 (flybase.org/reports/FBrf0203179)</t>
        </is>
      </c>
      <c r="F402" t="inlineStr"/>
      <c r="G402" t="inlineStr"/>
      <c r="H402" t="inlineStr"/>
    </row>
    <row r="403">
      <c r="A403">
        <f>HYPERLINK("https://www.ebi.ac.uk/ols/ontologies/fbbt/terms?iri=http://purl.obolibrary.org/obo/FBbt_00003637","FBbt:00003637")</f>
        <v/>
      </c>
      <c r="B403" t="inlineStr">
        <is>
          <t>eb-pb-vbo neuron</t>
        </is>
      </c>
      <c r="C403" t="inlineStr">
        <is>
          <t>EIRP neuron; EIP neuron; CX-SFN (pb-eb-vbo); EILP neuron</t>
        </is>
      </c>
      <c r="D403" t="inlineStr">
        <is>
          <t>Small field neuron of the central complex with dendritic arbors in a large dorso-lateral area of the ellipsoid body (including the inner, outer and posterior layers) and axon arborizations in the ellipsoid body, one or two glomeruli of the protocerebral bridge and either the ipsilateral or contralateral dorsal or ventral gall (ventral body or dorsal or ventral spindle body of the IDFP). Forms club-like terminals in the protocerebral bridge and spiny arborizations in the ellipsoid body. Neuron subtypes can be distinguished by their patterns of dendritic innervation in the ellipsoid body rings and/or gall.</t>
        </is>
      </c>
      <c r="E403" t="inlineStr">
        <is>
          <t>Hanesch et al., 1989, Cell Tissue Res. 257(2): 343--366 (flybase.org/reports/FBrf0049409); Lin et al., 2013, Cell Rep. 3(5): 1739--1753 (flybase.org/reports/FBrf0221742); Wolff et al., 2015, J. Comp. Neurol. 523(7): 997--1037 (flybase.org/reports/FBrf0227801)</t>
        </is>
      </c>
      <c r="F403" t="inlineStr"/>
      <c r="G403" t="inlineStr"/>
      <c r="H403" t="inlineStr"/>
    </row>
    <row r="404">
      <c r="A404">
        <f>HYPERLINK("https://www.ebi.ac.uk/ols/ontologies/fbbt/terms?iri=http://purl.obolibrary.org/obo/FBbt_00007452","FBbt:00007452")</f>
        <v/>
      </c>
      <c r="B404" t="inlineStr">
        <is>
          <t>adult antennal lobe projection neuron VM1 lPN</t>
        </is>
      </c>
      <c r="C404" t="inlineStr">
        <is>
          <t>VM1 lPN</t>
        </is>
      </c>
      <c r="D404" t="inlineStr">
        <is>
          <t>Antennal lobe projection neuron from the lateral antennal lobe neuroblast lineage whose dendrites innervate only antennal lobe glomerulus VM1. The axons of these neurons innervate the lateral horn.</t>
        </is>
      </c>
      <c r="E404" t="inlineStr">
        <is>
          <t>Jefferis et al., 2007, Cell 128(6): 1187--1203 (flybase.org/reports/FBrf0203179)</t>
        </is>
      </c>
      <c r="F404" t="inlineStr"/>
      <c r="G404" t="inlineStr"/>
      <c r="H404" t="inlineStr"/>
    </row>
    <row r="405">
      <c r="A405">
        <f>HYPERLINK("https://www.ebi.ac.uk/ols/ontologies/fbbt/terms?iri=http://purl.obolibrary.org/obo/FBbt_00067360","FBbt:00067360")</f>
        <v/>
      </c>
      <c r="B405" t="inlineStr">
        <is>
          <t>adult antennal lobe projection neuron DM6 adPN</t>
        </is>
      </c>
      <c r="C405" t="inlineStr">
        <is>
          <t>DM6 adPN</t>
        </is>
      </c>
      <c r="D405" t="inlineStr">
        <is>
          <t>Antennal lobe projection neuron from the ad neuroblast lineage whose dendrites innervate only antennal lobe glomerulus DM6. Neurons of this class are derived from the 12th larval division of the neuroblast ALad1 (FBbt:00067346) (Yu et al., 2010).</t>
        </is>
      </c>
      <c r="E405" t="inlineStr">
        <is>
          <t>Jefferis et al., 2001, Nature 414(6860): 204--208 (flybase.org/reports/FBrf0141667); Komiyama and Luo, 2007, Curr. Biol. 17(3): 278--285 (flybase.org/reports/FBrf0195086); Yu et al., 2010, PLoS Biol. 8(8): (flybase.org/reports/FBrf0211729)</t>
        </is>
      </c>
      <c r="F405" t="inlineStr"/>
      <c r="G405" t="inlineStr"/>
      <c r="H405" t="inlineStr"/>
    </row>
    <row r="406">
      <c r="A406">
        <f>HYPERLINK("https://www.ebi.ac.uk/ols/ontologies/fbbt/terms?iri=http://purl.obolibrary.org/obo/FBbt_00007451","FBbt:00007451")</f>
        <v/>
      </c>
      <c r="B406" t="inlineStr">
        <is>
          <t>adult antennal lobe projection neuron VL2p lPN</t>
        </is>
      </c>
      <c r="C406" t="inlineStr">
        <is>
          <t>VL2p lPN</t>
        </is>
      </c>
      <c r="D406" t="inlineStr">
        <is>
          <t>Antennal lobe projection neuron from the lateral antennal lobe neuroblast lineage whose dendrites innervate only antennal lobe glomerulus VL2p. The axons of these neurons innervate the lateral horn.</t>
        </is>
      </c>
      <c r="E406" t="inlineStr">
        <is>
          <t>Jefferis et al., 2007, Cell 128(6): 1187--1203 (flybase.org/reports/FBrf0203179)</t>
        </is>
      </c>
      <c r="F406" t="inlineStr"/>
      <c r="G406" t="inlineStr"/>
      <c r="H406" t="inlineStr"/>
    </row>
    <row r="407">
      <c r="A407">
        <f>HYPERLINK("https://www.ebi.ac.uk/ols/ontologies/fbbt/terms?iri=http://purl.obolibrary.org/obo/FBbt_00110945","FBbt:00110945")</f>
        <v/>
      </c>
      <c r="B407" t="inlineStr">
        <is>
          <t>adult serotonergic LP1 neuron</t>
        </is>
      </c>
      <c r="C407" t="inlineStr">
        <is>
          <t>None</t>
        </is>
      </c>
      <c r="D407" t="inlineStr">
        <is>
          <t>Adult serotonergic LP neuron whose cell body is located in the cortex of the lateral protocerebrum, anterior to the optic tract and that projects its axon centrally into the midbrain (Valles and White, 1988). The LP1 cluster lies posterior to the LP2 cluster (Giang et al., 2011).</t>
        </is>
      </c>
      <c r="E407" t="inlineStr">
        <is>
          <t>Valles and White, 1988, J. Comp. Neurol. 268(3): 414--428 (flybase.org/reports/FBrf0048551)</t>
        </is>
      </c>
      <c r="F407" t="inlineStr"/>
      <c r="G407" t="inlineStr"/>
      <c r="H407" t="inlineStr"/>
    </row>
    <row r="408">
      <c r="A408">
        <f>HYPERLINK("https://www.ebi.ac.uk/ols/ontologies/fbbt/terms?iri=http://purl.obolibrary.org/obo/FBbt_00067361","FBbt:00067361")</f>
        <v/>
      </c>
      <c r="B408" t="inlineStr">
        <is>
          <t>adult antennal lobe projection neuron VA1v adPN</t>
        </is>
      </c>
      <c r="C408" t="inlineStr">
        <is>
          <t>adult antennal lobe projection neuron VA1lm adPN; VA1lm adPN; VA1v adPN</t>
        </is>
      </c>
      <c r="D408" t="inlineStr">
        <is>
          <t>Antennal lobe projection neuron from the ad neuroblast lineage whose dendrites innervate only antennal lobe glomerulus VA1 ventral compartment. Neurons of this class are derived from the 13th larval division of the neuroblast ALad1 (FBbt:00067346) (Yu et al., 2010). Their axons innervate the ventral half of the lateral horn (Marin et al., 2002).</t>
        </is>
      </c>
      <c r="E408" t="inlineStr">
        <is>
          <t>Jefferis et al., 2001, Nature 414(6860): 204--208 (flybase.org/reports/FBrf0141667); Marin et al., 2002, Cell 109(2): 243--255 (flybase.org/reports/FBrf0146917); Yu et al., 2010, PLoS Biol. 8(8): (flybase.org/reports/FBrf0211729)</t>
        </is>
      </c>
      <c r="F408" t="inlineStr"/>
      <c r="G408" t="inlineStr"/>
      <c r="H408" t="inlineStr"/>
    </row>
    <row r="409">
      <c r="A409">
        <f>HYPERLINK("https://www.ebi.ac.uk/ols/ontologies/fbbt/terms?iri=http://purl.obolibrary.org/obo/FBbt_00050034","FBbt:00050034")</f>
        <v/>
      </c>
      <c r="B409" t="inlineStr">
        <is>
          <t>adult LHl2 lineage neuron</t>
        </is>
      </c>
      <c r="C409" t="inlineStr">
        <is>
          <t>None</t>
        </is>
      </c>
      <c r="D409" t="inlineStr">
        <is>
          <t>Any neuron (FBbt:00005106) that is part of some adult brain (FBbt:00003624) and that develops from some neuroblast LHl2 (FBbt:00050032).</t>
        </is>
      </c>
      <c r="E409" t="inlineStr">
        <is>
          <t>Yu et al., 2013, Curr. Biol. 23(8): 633--643 (flybase.org/reports/FBrf0221412); Ito et al., 2013, Curr. Biol. 23(8): 644--655 (flybase.org/reports/FBrf0221438)</t>
        </is>
      </c>
      <c r="F409" t="inlineStr"/>
      <c r="G409" t="inlineStr"/>
      <c r="H409" t="inlineStr"/>
    </row>
    <row r="410">
      <c r="A410">
        <f>HYPERLINK("https://www.ebi.ac.uk/ols/ontologies/fbbt/terms?iri=http://purl.obolibrary.org/obo/FBbt_00007450","FBbt:00007450")</f>
        <v/>
      </c>
      <c r="B410" t="inlineStr">
        <is>
          <t>adult antennal lobe projection neuron VL2p adPN</t>
        </is>
      </c>
      <c r="C410" t="inlineStr">
        <is>
          <t>VL2p+; VL2p adPN</t>
        </is>
      </c>
      <c r="D410" t="inlineStr">
        <is>
          <t>Antennal lobe projection neuron from the ad neuroblast lineage (embryonic born) whose dendrites innervate only antennal lobe glomerulus VL2p. This neuron is born in the third division of the neuroblast ALad1 (FBbt:00067346) during embryogenesis (Yu et al., 2010).</t>
        </is>
      </c>
      <c r="E410" t="inlineStr">
        <is>
          <t>Jefferis et al., 2001, Nature 414(6860): 204--208 (flybase.org/reports/FBrf0141667); Marin et al., 2005, Development 132(4): 725--737 (flybase.org/reports/FBrf0183938); Yu et al., 2010, PLoS Biol. 8(8): (flybase.org/reports/FBrf0211729)</t>
        </is>
      </c>
      <c r="F410" t="inlineStr"/>
      <c r="G410" t="inlineStr"/>
      <c r="H410" t="inlineStr"/>
    </row>
    <row r="411">
      <c r="A411">
        <f>HYPERLINK("https://www.ebi.ac.uk/ols/ontologies/fbbt/terms?iri=http://purl.obolibrary.org/obo/FBbt_00048096","FBbt:00048096")</f>
        <v/>
      </c>
      <c r="B411" t="inlineStr">
        <is>
          <t>adult antennal lobe projection neuron DA1</t>
        </is>
      </c>
      <c r="C411" t="inlineStr">
        <is>
          <t>DA1 PN; uniglomerular DA1 uACTI</t>
        </is>
      </c>
      <c r="D411" t="inlineStr">
        <is>
          <t>Antennal lobe projection neuron whose dendrites innervate only antennal lobe glomerulus DA1.</t>
        </is>
      </c>
      <c r="E411" t="inlineStr">
        <is>
          <t>Stocker et al., 1990, Cell Tissue Res. 262(1): 9--34 (flybase.org/reports/FBrf0051437)</t>
        </is>
      </c>
      <c r="F411" t="inlineStr"/>
      <c r="G411" t="inlineStr"/>
      <c r="H411" t="inlineStr"/>
    </row>
    <row r="412">
      <c r="A412">
        <f>HYPERLINK("https://www.ebi.ac.uk/ols/ontologies/fbbt/terms?iri=http://purl.obolibrary.org/obo/FBbt_00050177","FBbt:00050177")</f>
        <v/>
      </c>
      <c r="B412" t="inlineStr">
        <is>
          <t>adult SLPal5 lineage neuron</t>
        </is>
      </c>
      <c r="C412" t="inlineStr">
        <is>
          <t>None</t>
        </is>
      </c>
      <c r="D412" t="inlineStr">
        <is>
          <t>Any neuron (FBbt:00005106) that is part of some adult brain (FBbt:00003624) and that develops from some neuroblast SLPal5 (FBbt:00050175).</t>
        </is>
      </c>
      <c r="E412" t="inlineStr">
        <is>
          <t>Yu et al., 2013, Curr. Biol. 23(8): 633--643 (flybase.org/reports/FBrf0221412)</t>
        </is>
      </c>
      <c r="F412" t="inlineStr"/>
      <c r="G412" t="inlineStr"/>
      <c r="H412" t="inlineStr"/>
    </row>
    <row r="413">
      <c r="A413">
        <f>HYPERLINK("https://www.ebi.ac.uk/ols/ontologies/fbbt/terms?iri=http://purl.obolibrary.org/obo/FBbt_00050031","FBbt:00050031")</f>
        <v/>
      </c>
      <c r="B413" t="inlineStr">
        <is>
          <t>adult SMPpv1 lineage neuron</t>
        </is>
      </c>
      <c r="C413" t="inlineStr">
        <is>
          <t>None</t>
        </is>
      </c>
      <c r="D413" t="inlineStr">
        <is>
          <t>Any neuron (FBbt:00005106) that is part of some adult brain (FBbt:00003624) and that develops from some neuroblast SMPpv1 (FBbt:00050029).</t>
        </is>
      </c>
      <c r="E413" t="inlineStr">
        <is>
          <t>Yu et al., 2013, Curr. Biol. 23(8): 633--643 (flybase.org/reports/FBrf0221412)</t>
        </is>
      </c>
      <c r="F413" t="inlineStr"/>
      <c r="G413" t="inlineStr"/>
      <c r="H413" t="inlineStr"/>
    </row>
    <row r="414">
      <c r="A414">
        <f>HYPERLINK("https://www.ebi.ac.uk/ols/ontologies/fbbt/terms?iri=http://purl.obolibrary.org/obo/FBbt_00050174","FBbt:00050174")</f>
        <v/>
      </c>
      <c r="B414" t="inlineStr">
        <is>
          <t>adult SMPad3 lineage neuron</t>
        </is>
      </c>
      <c r="C414" t="inlineStr">
        <is>
          <t>None</t>
        </is>
      </c>
      <c r="D414" t="inlineStr">
        <is>
          <t>Any neuron (FBbt:00005106) that is part of some adult brain (FBbt:00003624) and that develops from some neuroblast SMPad3 (FBbt:00050172).</t>
        </is>
      </c>
      <c r="E414" t="inlineStr">
        <is>
          <t>Yu et al., 2013, Curr. Biol. 23(8): 633--643 (flybase.org/reports/FBrf0221412)</t>
        </is>
      </c>
      <c r="F414" t="inlineStr"/>
      <c r="G414" t="inlineStr"/>
      <c r="H414" t="inlineStr"/>
    </row>
    <row r="415">
      <c r="A415">
        <f>HYPERLINK("https://www.ebi.ac.uk/ols/ontologies/fbbt/terms?iri=http://purl.obolibrary.org/obo/FBbt_00110949","FBbt:00110949")</f>
        <v/>
      </c>
      <c r="B415" t="inlineStr">
        <is>
          <t>adult serotonergic SE1 neuron</t>
        </is>
      </c>
      <c r="C415" t="inlineStr">
        <is>
          <t>None</t>
        </is>
      </c>
      <c r="D415" t="inlineStr">
        <is>
          <t>Adult serotonergic SE neuron whose cell body is located laterally to the esophagus foramen (Valles and White, 1988). This cluster consists of two large and two small cells (Giang et al., 2011).</t>
        </is>
      </c>
      <c r="E415" t="inlineStr">
        <is>
          <t>Valles and White, 1988, J. Comp. Neurol. 268(3): 414--428 (flybase.org/reports/FBrf0048551); Giang et al., 2011, J. Neurogenet. 25(1-2): 17--26 (flybase.org/reports/FBrf0213697)</t>
        </is>
      </c>
      <c r="F415" t="inlineStr"/>
      <c r="G415" t="inlineStr"/>
      <c r="H415" t="inlineStr"/>
    </row>
    <row r="416">
      <c r="A416">
        <f>HYPERLINK("https://www.ebi.ac.uk/ols/ontologies/fbbt/terms?iri=http://purl.obolibrary.org/obo/FBbt_00048093","FBbt:00048093")</f>
        <v/>
      </c>
      <c r="B416" t="inlineStr">
        <is>
          <t>adult antennal lobe projection neuron VP2 mALT</t>
        </is>
      </c>
      <c r="C416" t="inlineStr">
        <is>
          <t>VP2 PN; VP2 monoglomerular uACTI</t>
        </is>
      </c>
      <c r="D416" t="inlineStr">
        <is>
          <t>Antennal lobe projection neuron whose dendrites innervate only antennal lobe glomerulus VP2. It projects via the medial antennal lobe tract to arborize in the mushroom body calyx and the lateral protocerebrum (Stocker et al., 1990).</t>
        </is>
      </c>
      <c r="E416" t="inlineStr">
        <is>
          <t>Stocker et al., 1990, Cell Tissue Res. 262(1): 9--34 (flybase.org/reports/FBrf0051437)</t>
        </is>
      </c>
      <c r="F416" t="inlineStr"/>
      <c r="G416" t="inlineStr"/>
      <c r="H416" t="inlineStr"/>
    </row>
    <row r="417">
      <c r="A417">
        <f>HYPERLINK("https://www.ebi.ac.uk/ols/ontologies/fbbt/terms?iri=http://purl.obolibrary.org/obo/FBbt_00111339","FBbt:00111339")</f>
        <v/>
      </c>
      <c r="B417" t="inlineStr">
        <is>
          <t>adult antennal lobe projection neuron VP3 mALT adPN</t>
        </is>
      </c>
      <c r="C417" t="inlineStr">
        <is>
          <t>None</t>
        </is>
      </c>
      <c r="D417" t="inlineStr">
        <is>
          <t>Antennal lobe projection neuron whose dendrites innervate the antennal lobe glomerulus VP3 bilaterally. It fasciculates with the medial antennal lobe tract mALT to innervate the mushroom body and lateral horn. This neuron responds to cooling.</t>
        </is>
      </c>
      <c r="E417" t="inlineStr">
        <is>
          <t>Frank et al., 2015, Nature 519(7543): 358--361 (flybase.org/reports/FBrf0227880)</t>
        </is>
      </c>
      <c r="F417" t="inlineStr"/>
      <c r="G417" t="inlineStr"/>
      <c r="H417" t="inlineStr"/>
    </row>
    <row r="418">
      <c r="A418">
        <f>HYPERLINK("https://www.ebi.ac.uk/ols/ontologies/fbbt/terms?iri=http://purl.obolibrary.org/obo/FBbt_00048094","FBbt:00048094")</f>
        <v/>
      </c>
      <c r="B418" t="inlineStr">
        <is>
          <t>adult antennal lobe projection neuron DP1</t>
        </is>
      </c>
      <c r="C418" t="inlineStr">
        <is>
          <t>DP1 PN</t>
        </is>
      </c>
      <c r="D418" t="inlineStr">
        <is>
          <t>Antennal lobe projection neuron whose dendrites innervate only antennal lobe glomerulus DP1.</t>
        </is>
      </c>
      <c r="E418" t="inlineStr">
        <is>
          <t>Stocker et al., 1990, Cell Tissue Res. 262(1): 9--34 (flybase.org/reports/FBrf0051437)</t>
        </is>
      </c>
      <c r="F418" t="inlineStr"/>
      <c r="G418" t="inlineStr"/>
      <c r="H418" t="inlineStr"/>
    </row>
    <row r="419">
      <c r="A419">
        <f>HYPERLINK("https://www.ebi.ac.uk/ols/ontologies/fbbt/terms?iri=http://purl.obolibrary.org/obo/FBbt_00111338","FBbt:00111338")</f>
        <v/>
      </c>
      <c r="B419" t="inlineStr">
        <is>
          <t>adult antennal lobe projection neuron VP3 lALT</t>
        </is>
      </c>
      <c r="C419" t="inlineStr">
        <is>
          <t>adult antennal lobe projection neuron VP3 lALT PN; VP3 monoglomerular uACTI; fast-cool-PN; lAPT (VP3)</t>
        </is>
      </c>
      <c r="D419" t="inlineStr">
        <is>
          <t>Antennal lobe projection neuron whose dendrites innervate the antennal lobe glomerulus VP3, unilaterally or bilaterally. It fasciculates with the lateral antennal lobe tract lALT to innervate the posterior slope and posterior lateral protocerebrum. This neuron responds to cooling, showing strong adaptation to sustained temperature decreases.</t>
        </is>
      </c>
      <c r="E419" t="inlineStr">
        <is>
          <t>Frank et al., 2015, Nature 519(7543): 358--361 (flybase.org/reports/FBrf0227880); Liu et al., 2015, Nature 519(7543): 353--357 (flybase.org/reports/FBrf0227881)</t>
        </is>
      </c>
      <c r="F419" t="inlineStr"/>
      <c r="G419" t="inlineStr"/>
      <c r="H419" t="inlineStr"/>
    </row>
    <row r="420">
      <c r="A420">
        <f>HYPERLINK("https://www.ebi.ac.uk/ols/ontologies/fbbt/terms?iri=http://purl.obolibrary.org/obo/FBbt_00003836","FBbt:00003836")</f>
        <v/>
      </c>
      <c r="B420" t="inlineStr">
        <is>
          <t>medullary tangential neuron</t>
        </is>
      </c>
      <c r="C420" t="inlineStr">
        <is>
          <t>Mt</t>
        </is>
      </c>
      <c r="D420" t="inlineStr">
        <is>
          <t>Tangential neuron of the optic lobe that projects and arborizes along the plane of one or more medulla layers.</t>
        </is>
      </c>
      <c r="E420" t="inlineStr">
        <is>
          <t>Fischbach and Dittrich, 1989, Cell Tissue Res. 258(3): 441--475 (flybase.org/reports/FBrf0049410)</t>
        </is>
      </c>
      <c r="F420" t="inlineStr"/>
      <c r="G420" t="inlineStr"/>
      <c r="H420" t="inlineStr"/>
    </row>
    <row r="421">
      <c r="A421">
        <f>HYPERLINK("https://www.ebi.ac.uk/ols/ontologies/fbbt/terms?iri=http://purl.obolibrary.org/obo/FBbt_00067368","FBbt:00067368")</f>
        <v/>
      </c>
      <c r="B421" t="inlineStr">
        <is>
          <t>adult antennal lobe projection neuron DM2 lPN</t>
        </is>
      </c>
      <c r="C421" t="inlineStr">
        <is>
          <t>DM2 lPN</t>
        </is>
      </c>
      <c r="D421" t="inlineStr">
        <is>
          <t>Antennal lobe projection neuron from the lateral neuroblast lineage whose dendrites innervate only antennal lobe glomerulus DM2. The axons of these neurons innervate the lateral horn.</t>
        </is>
      </c>
      <c r="E421" t="inlineStr">
        <is>
          <t>Marin et al., 2002, Cell 109(2): 243--255 (flybase.org/reports/FBrf0146917); Jefferis et al., 2007, Cell 128(6): 1187--1203 (flybase.org/reports/FBrf0203179)</t>
        </is>
      </c>
      <c r="F421" t="inlineStr"/>
      <c r="G421" t="inlineStr"/>
      <c r="H421" t="inlineStr"/>
    </row>
    <row r="422">
      <c r="A422">
        <f>HYPERLINK("https://www.ebi.ac.uk/ols/ontologies/fbbt/terms?iri=http://purl.obolibrary.org/obo/FBbt_00111337","FBbt:00111337")</f>
        <v/>
      </c>
      <c r="B422" t="inlineStr">
        <is>
          <t>adult antennal lobe projection neuron VP3 t5ALT</t>
        </is>
      </c>
      <c r="C422" t="inlineStr">
        <is>
          <t>transverse antennal lobe projection neuron; adult antennal lobe projection neuron VP3 t5ALT PN; slow-cool-PN</t>
        </is>
      </c>
      <c r="D422" t="inlineStr">
        <is>
          <t>Antennal lobe projection neuron whose dendrites innervate the antennal lobe glomerulus VP3. It fasciculates with the transverse antennal lobe t5ALT tract to innervate a subregion of the mushroom body calyx. This neuron responds to cooling, showing weak adaptation to sustained temperature decreases.</t>
        </is>
      </c>
      <c r="E422" t="inlineStr">
        <is>
          <t>Frank et al., 2015, Nature 519(7543): 358--361 (flybase.org/reports/FBrf0227880); Liu et al., 2015, Nature 519(7543): 353--357 (flybase.org/reports/FBrf0227881)</t>
        </is>
      </c>
      <c r="F422" t="inlineStr"/>
      <c r="G422" t="inlineStr"/>
      <c r="H422" t="inlineStr"/>
    </row>
    <row r="423">
      <c r="A423">
        <f>HYPERLINK("https://www.ebi.ac.uk/ols/ontologies/fbbt/terms?iri=http://purl.obolibrary.org/obo/FBbt_00050230","FBbt:00050230")</f>
        <v/>
      </c>
      <c r="B423" t="inlineStr">
        <is>
          <t>adult SLPpl1 lineage neuron</t>
        </is>
      </c>
      <c r="C423" t="inlineStr">
        <is>
          <t>None</t>
        </is>
      </c>
      <c r="D423" t="inlineStr">
        <is>
          <t>Any neuron (FBbt:00005106) that is part of some adult brain (FBbt:00003624) and that develops from some neuroblast SLPpl1 (FBbt:00050228).</t>
        </is>
      </c>
      <c r="E423" t="inlineStr">
        <is>
          <t>Yu et al., 2013, Curr. Biol. 23(8): 633--643 (flybase.org/reports/FBrf0221412); Ito et al., 2013, Curr. Biol. 23(8): 644--655 (flybase.org/reports/FBrf0221438)</t>
        </is>
      </c>
      <c r="F423" t="inlineStr"/>
      <c r="G423" t="inlineStr"/>
      <c r="H423" t="inlineStr"/>
    </row>
    <row r="424">
      <c r="A424">
        <f>HYPERLINK("https://www.ebi.ac.uk/ols/ontologies/fbbt/terms?iri=http://purl.obolibrary.org/obo/FBbt_00067369","FBbt:00067369")</f>
        <v/>
      </c>
      <c r="B424" t="inlineStr">
        <is>
          <t>adult antennal lobe projection neuron DM1 lPN</t>
        </is>
      </c>
      <c r="C424" t="inlineStr">
        <is>
          <t>DM1 lPN; mALT (DM1); iACT (DM1)</t>
        </is>
      </c>
      <c r="D424" t="inlineStr">
        <is>
          <t>Antennal lobe projection neuron from the lateral neuroblast lineage whose dendrites innervate only antennal lobe glomerulus DM1. The axons of these neurons innervate a small area at the dorsoposterior edge of the lateral horn.</t>
        </is>
      </c>
      <c r="E424" t="inlineStr">
        <is>
          <t>Wong et al., 2002, Cell 109(2): 229--241 (flybase.org/reports/FBrf0146916); Tanaka et al., 2004, Curr. Biol. 14(6): 449--457 (flybase.org/reports/FBrf0174482); Jefferis et al., 2007, Cell 128(6): 1187--1203 (flybase.org/reports/FBrf0203179)</t>
        </is>
      </c>
      <c r="F424" t="inlineStr"/>
      <c r="G424" t="inlineStr"/>
      <c r="H424" t="inlineStr"/>
    </row>
    <row r="425">
      <c r="A425">
        <f>HYPERLINK("https://www.ebi.ac.uk/ols/ontologies/fbbt/terms?iri=http://purl.obolibrary.org/obo/FBbt_00067366","FBbt:00067366")</f>
        <v/>
      </c>
      <c r="B425" t="inlineStr">
        <is>
          <t>adult antennal lobe projection neuron VA5 lPN</t>
        </is>
      </c>
      <c r="C425" t="inlineStr">
        <is>
          <t>VA5 lPN</t>
        </is>
      </c>
      <c r="D425" t="inlineStr">
        <is>
          <t>Antennal lobe projection neuron from the lateral neuroblast lineage whose dendrites innervate only antennal lobe glomerulus VA5. The axons of these neurons innervate the lateral horn.</t>
        </is>
      </c>
      <c r="E425" t="inlineStr">
        <is>
          <t>Marin et al., 2002, Cell 109(2): 243--255 (flybase.org/reports/FBrf0146917); Jefferis et al., 2007, Cell 128(6): 1187--1203 (flybase.org/reports/FBrf0203179)</t>
        </is>
      </c>
      <c r="F425" t="inlineStr"/>
      <c r="G425" t="inlineStr"/>
      <c r="H425" t="inlineStr"/>
    </row>
    <row r="426">
      <c r="A426">
        <f>HYPERLINK("https://www.ebi.ac.uk/ols/ontologies/fbbt/terms?iri=http://purl.obolibrary.org/obo/FBbt_00067367","FBbt:00067367")</f>
        <v/>
      </c>
      <c r="B426" t="inlineStr">
        <is>
          <t>adult antennal lobe projection neuron DM5 lPN</t>
        </is>
      </c>
      <c r="C426" t="inlineStr">
        <is>
          <t>DM5 lPN</t>
        </is>
      </c>
      <c r="D426" t="inlineStr">
        <is>
          <t>Antennal lobe projection neuron from the lateral neuroblast lineage whose dendrites innervate only antennal lobe glomerulus DM5. The axons of these neurons innervate the lateral horn.</t>
        </is>
      </c>
      <c r="E426" t="inlineStr">
        <is>
          <t>Marin et al., 2002, Cell 109(2): 243--255 (flybase.org/reports/FBrf0146917); Komiyama and Luo, 2007, Curr. Biol. 17(3): 278--285 (flybase.org/reports/FBrf0195086); Jefferis et al., 2007, Cell 128(6): 1187--1203 (flybase.org/reports/FBrf0203179)</t>
        </is>
      </c>
      <c r="F426" t="inlineStr"/>
      <c r="G426" t="inlineStr"/>
      <c r="H426" t="inlineStr"/>
    </row>
    <row r="427">
      <c r="A427">
        <f>HYPERLINK("https://www.ebi.ac.uk/ols/ontologies/fbbt/terms?iri=http://purl.obolibrary.org/obo/FBbt_00067364","FBbt:00067364")</f>
        <v/>
      </c>
      <c r="B427" t="inlineStr">
        <is>
          <t>adult antennal lobe projection neuron DL3 lPN</t>
        </is>
      </c>
      <c r="C427" t="inlineStr">
        <is>
          <t>DL3 lPN</t>
        </is>
      </c>
      <c r="D427" t="inlineStr">
        <is>
          <t>Antennal lobe projection neuron from the lateral neuroblast lineage whose dendrites innervate only antennal lobe glomerulus DL3. The axons of these neurons innervate the lateral horn.</t>
        </is>
      </c>
      <c r="E427" t="inlineStr">
        <is>
          <t>Marin et al., 2002, Cell 109(2): 243--255 (flybase.org/reports/FBrf0146917); Jefferis et al., 2007, Cell 128(6): 1187--1203 (flybase.org/reports/FBrf0203179)</t>
        </is>
      </c>
      <c r="F427" t="inlineStr"/>
      <c r="G427" t="inlineStr"/>
      <c r="H427" t="inlineStr"/>
    </row>
    <row r="428">
      <c r="A428">
        <f>HYPERLINK("https://www.ebi.ac.uk/ols/ontologies/fbbt/terms?iri=http://purl.obolibrary.org/obo/FBbt_00110358","FBbt:00110358")</f>
        <v/>
      </c>
      <c r="B428" t="inlineStr">
        <is>
          <t>adult EBp1 lineage neuron</t>
        </is>
      </c>
      <c r="C428" t="inlineStr">
        <is>
          <t>None</t>
        </is>
      </c>
      <c r="D428" t="inlineStr">
        <is>
          <t>Any neuron (FBbt:00005106) that is part of some adult brain (FBbt:00003624) and that develops from some neuroblast EBp1 (FBbt:00110294).</t>
        </is>
      </c>
      <c r="E428" t="inlineStr">
        <is>
          <t>Ito et al., 2013, Curr. Biol. 23(8): 644--655 (flybase.org/reports/FBrf0221438)</t>
        </is>
      </c>
      <c r="F428" t="inlineStr"/>
      <c r="G428" t="inlineStr"/>
      <c r="H428" t="inlineStr"/>
    </row>
    <row r="429">
      <c r="A429">
        <f>HYPERLINK("https://www.ebi.ac.uk/ols/ontologies/fbbt/terms?iri=http://purl.obolibrary.org/obo/FBbt_00050037","FBbt:00050037")</f>
        <v/>
      </c>
      <c r="B429" t="inlineStr">
        <is>
          <t>adult ALv2 lineage neuron</t>
        </is>
      </c>
      <c r="C429" t="inlineStr">
        <is>
          <t>adult vlLN lineage neuron; adult BAla lineage neuron; adult vlNB lineage neuron; adult vLN lineage neuron</t>
        </is>
      </c>
      <c r="D429" t="inlineStr">
        <is>
          <t>Any neuron (FBbt:00005106) that is part of some adult brain (FBbt:00003624) and that develops from some neuroblast ALv2 (FBbt:00050035).</t>
        </is>
      </c>
      <c r="E429" t="inlineStr">
        <is>
          <t>Yu et al., 2013, Curr. Biol. 23(8): 633--643 (flybase.org/reports/FBrf0221412)</t>
        </is>
      </c>
      <c r="F429" t="inlineStr"/>
      <c r="G429" t="inlineStr"/>
      <c r="H429" t="inlineStr"/>
    </row>
    <row r="430">
      <c r="A430">
        <f>HYPERLINK("https://www.ebi.ac.uk/ols/ontologies/fbbt/terms?iri=http://purl.obolibrary.org/obo/FBbt_00067365","FBbt:00067365")</f>
        <v/>
      </c>
      <c r="B430" t="inlineStr">
        <is>
          <t>adult antennal lobe projection neuron VA7m lPN</t>
        </is>
      </c>
      <c r="C430" t="inlineStr">
        <is>
          <t>VA7m lPN</t>
        </is>
      </c>
      <c r="D430" t="inlineStr">
        <is>
          <t>Antennal lobe projection neuron from the lateral neuroblast lineage whose dendrites innervate only antennal lobe glomerulus VA7m. The axons of these neurons innervate the lateral horn.</t>
        </is>
      </c>
      <c r="E430" t="inlineStr">
        <is>
          <t>Marin et al., 2002, Cell 109(2): 243--255 (flybase.org/reports/FBrf0146917); Jefferis et al., 2007, Cell 128(6): 1187--1203 (flybase.org/reports/FBrf0203179)</t>
        </is>
      </c>
      <c r="F430" t="inlineStr"/>
      <c r="G430" t="inlineStr"/>
      <c r="H430" t="inlineStr"/>
    </row>
    <row r="431">
      <c r="A431">
        <f>HYPERLINK("https://www.ebi.ac.uk/ols/ontologies/fbbt/terms?iri=http://purl.obolibrary.org/obo/FBbt_00007454","FBbt:00007454")</f>
        <v/>
      </c>
      <c r="B431" t="inlineStr">
        <is>
          <t>adult antennal lobe projection neuron VM7v adPN</t>
        </is>
      </c>
      <c r="C431" t="inlineStr">
        <is>
          <t>VM7v adPN; adult antennal lobe projection neuron 1 adPN; 1 adPN</t>
        </is>
      </c>
      <c r="D431" t="inlineStr">
        <is>
          <t>Antennal lobe projection neuron from the ad neuroblast lineage whose dendrites innervate only antennal lobe glomerulus VM7v (also known as glomerulus 1). Neurons of this class derive from the ninth larval division of the ALad1 neuroblast (FBbt:00067346).</t>
        </is>
      </c>
      <c r="E431" t="inlineStr">
        <is>
          <t>Marin et al., 2002, Cell 109(2): 243--255 (flybase.org/reports/FBrf0146917); Yu et al., 2010, PLoS Biol. 8(8): (flybase.org/reports/FBrf0211729)</t>
        </is>
      </c>
      <c r="F431" t="inlineStr"/>
      <c r="G431" t="inlineStr"/>
      <c r="H431" t="inlineStr"/>
    </row>
    <row r="432">
      <c r="A432">
        <f>HYPERLINK("https://www.ebi.ac.uk/ols/ontologies/fbbt/terms?iri=http://purl.obolibrary.org/obo/FBbt_00003874","FBbt:00003874")</f>
        <v/>
      </c>
      <c r="B432" t="inlineStr">
        <is>
          <t>lobula columnar neuron Lcn4</t>
        </is>
      </c>
      <c r="C432" t="inlineStr">
        <is>
          <t>lobular columnar neuron Lcn4; LC4; ColA; LC04</t>
        </is>
      </c>
      <c r="D432" t="inlineStr">
        <is>
          <t>An extrinsic columnar neuron whose cell body is in an extended region of the lateral cell body rind. It has its main dendritic arbors in lobula layers 2 and 4, with some processes projecting to layer 1 and multiple branches passing through layer 3. The processes of adjacent cells overlap. It projects to an optic glomerulus in the PVLP that is medial to the one from Lcn12 and ventral to LPLC2 and LPLC1. There are an estimated 66 neurons of this type. It is a glutamatergic neuron (Raghu and Borst, 2011).</t>
        </is>
      </c>
      <c r="E432" t="inlineStr">
        <is>
          <t>Fischbach and Dittrich, 1989, Cell Tissue Res. 258(3): 441--475 (flybase.org/reports/FBrf0049410); Otsuna and Ito, 2006, J. Comp. Neurol. 497(6): 928--958 (flybase.org/reports/FBrf0193607); Raghu and Borst, 2011, PLoS ONE 6(5): e19472 (flybase.org/reports/FBrf0213690); Wu et al., 2016, eLife 5: e21022 (flybase.org/reports/FBrf0234700)</t>
        </is>
      </c>
      <c r="F432" t="inlineStr"/>
      <c r="G432" t="inlineStr"/>
      <c r="H432" t="inlineStr"/>
    </row>
    <row r="433">
      <c r="A433">
        <f>HYPERLINK("https://www.ebi.ac.uk/ols/ontologies/fbbt/terms?iri=http://purl.obolibrary.org/obo/FBbt_00003875","FBbt:00003875")</f>
        <v/>
      </c>
      <c r="B433" t="inlineStr">
        <is>
          <t>lobula columnar neuron Lcn5</t>
        </is>
      </c>
      <c r="C433" t="inlineStr">
        <is>
          <t>LC5; lobular columnar neuron Lcn5</t>
        </is>
      </c>
      <c r="D433" t="inlineStr">
        <is>
          <t>An extrinsic columnar neuron that branches in lobula layer 5 with the branches forming fine terminal arbors in lobula layers 4, 5 and 6. It seems to be capable of both glutamatergic and GABAergic neurotransmission.</t>
        </is>
      </c>
      <c r="E433" t="inlineStr">
        <is>
          <t>Fischbach and Dittrich, 1989, Cell Tissue Res. 258(3): 441--475 (flybase.org/reports/FBrf0049410); Raghu and Borst, 2011, PLoS ONE 6(5): e19472 (flybase.org/reports/FBrf0213690); Raghu et al., 2013, J. Comp. Neurol. 521(1): 252--265 (flybase.org/reports/FBrf0220286)</t>
        </is>
      </c>
      <c r="F433" t="inlineStr"/>
      <c r="G433" t="inlineStr"/>
      <c r="H433" t="inlineStr"/>
    </row>
    <row r="434">
      <c r="A434">
        <f>HYPERLINK("https://www.ebi.ac.uk/ols/ontologies/fbbt/terms?iri=http://purl.obolibrary.org/obo/FBbt_00110447","FBbt:00110447")</f>
        <v/>
      </c>
      <c r="B434" t="inlineStr">
        <is>
          <t>adult fruitless aSG-a neuron</t>
        </is>
      </c>
      <c r="C434" t="inlineStr">
        <is>
          <t>aSG-a neuron; fru-SG neuron</t>
        </is>
      </c>
      <c r="D434" t="inlineStr">
        <is>
          <t>Any neuron (FBbt:00005106) that is part of some adult fruitless aSG-a lineage clone (FBbt:00110446).</t>
        </is>
      </c>
      <c r="E434" t="inlineStr">
        <is>
          <t>Cachero et al., 2010, Curr. Biol. 20(18): 1589--1601 (flybase.org/reports/FBrf0211926)</t>
        </is>
      </c>
      <c r="F434" t="inlineStr"/>
      <c r="G434" t="inlineStr"/>
      <c r="H434" t="inlineStr"/>
    </row>
    <row r="435">
      <c r="A435">
        <f>HYPERLINK("https://www.ebi.ac.uk/ols/ontologies/fbbt/terms?iri=http://purl.obolibrary.org/obo/FBbt_00110471","FBbt:00110471")</f>
        <v/>
      </c>
      <c r="B435" t="inlineStr">
        <is>
          <t>adult fruitless aSP-l neuron</t>
        </is>
      </c>
      <c r="C435" t="inlineStr">
        <is>
          <t>aSP-l neuron; fru-aSP3 neuron; aSP7 neuron</t>
        </is>
      </c>
      <c r="D435" t="inlineStr">
        <is>
          <t>Any neuron (FBbt:00005106) that is part of some adult fruitless aSP-l lineage clone (FBbt:00110470) and that develops from some neuroblast SLPav2 (FBbt:00050237).</t>
        </is>
      </c>
      <c r="E435" t="inlineStr">
        <is>
          <t>Lee et al., 2000, J. Neurobiol. 43(4): 404--426 (flybase.org/reports/FBrf0128543); Yu et al., 2010, Curr. Biol. 20(18): 1602--1614 (flybase.org/reports/FBrf0211884); Cachero et al., 2010, Curr. Biol. 20(18): 1589--1601 (flybase.org/reports/FBrf0211926); Yu et al., 2013, Curr. Biol. 23(8): 633--643 (flybase.org/reports/FBrf0221412); Ito et al., 2013, Curr. Biol. 23(8): 644--655 (flybase.org/reports/FBrf0221438)</t>
        </is>
      </c>
      <c r="F435" t="inlineStr"/>
      <c r="G435" t="inlineStr"/>
      <c r="H435" t="inlineStr"/>
    </row>
    <row r="436">
      <c r="A436">
        <f>HYPERLINK("https://www.ebi.ac.uk/ols/ontologies/fbbt/terms?iri=http://purl.obolibrary.org/obo/FBbt_00003872","FBbt:00003872")</f>
        <v/>
      </c>
      <c r="B436" t="inlineStr">
        <is>
          <t>lobula columnar neuron Lcn2</t>
        </is>
      </c>
      <c r="C436" t="inlineStr">
        <is>
          <t>LC2; lobular columnar neuron Lcn2</t>
        </is>
      </c>
      <c r="D436" t="inlineStr">
        <is>
          <t>An extrinsic columnar neuron that arborizes in lobula layers 3-5. The distal part of this arborization is fine and bushy while the proximal part has thick projections with bleb-type terminals. It is a cholinergic neuron (Varija Raghu et al., 2011).</t>
        </is>
      </c>
      <c r="E436" t="inlineStr">
        <is>
          <t>Fischbach and Dittrich, 1989, Cell Tissue Res. 258(3): 441--475 (flybase.org/reports/FBrf0049410); Varija Raghu et al., 2011, J. Comp. Neurol. 519(1): 162--176 (flybase.org/reports/FBrf0212356)</t>
        </is>
      </c>
      <c r="F436" t="inlineStr"/>
      <c r="G436" t="inlineStr"/>
      <c r="H436" t="inlineStr"/>
    </row>
    <row r="437">
      <c r="A437">
        <f>HYPERLINK("https://www.ebi.ac.uk/ols/ontologies/fbbt/terms?iri=http://purl.obolibrary.org/obo/FBbt_00048097","FBbt:00048097")</f>
        <v/>
      </c>
      <c r="B437" t="inlineStr">
        <is>
          <t>adult antennal lobe projection neuron DA2/VA2/VA3</t>
        </is>
      </c>
      <c r="C437" t="inlineStr">
        <is>
          <t>oligoglomerular uACTI DA2/VA2-3</t>
        </is>
      </c>
      <c r="D437" t="inlineStr">
        <is>
          <t>Antennal lobe projection neuron whose dendrites innervate the antennal lobe glomeruli DA2, VA2 and VA3 only (Stocker et al., 1990).</t>
        </is>
      </c>
      <c r="E437" t="inlineStr">
        <is>
          <t>Stocker et al., 1990, Cell Tissue Res. 262(1): 9--34 (flybase.org/reports/FBrf0051437)</t>
        </is>
      </c>
      <c r="F437" t="inlineStr"/>
      <c r="G437" t="inlineStr"/>
      <c r="H437" t="inlineStr"/>
    </row>
    <row r="438">
      <c r="A438">
        <f>HYPERLINK("https://www.ebi.ac.uk/ols/ontologies/fbbt/terms?iri=http://purl.obolibrary.org/obo/FBbt_00003871","FBbt:00003871")</f>
        <v/>
      </c>
      <c r="B438" t="inlineStr">
        <is>
          <t>lobula columnar neuron Lcn1</t>
        </is>
      </c>
      <c r="C438" t="inlineStr">
        <is>
          <t>LC1; lobular columnar neuron Lcn1</t>
        </is>
      </c>
      <c r="D438" t="inlineStr">
        <is>
          <t>An extrinsic columnar neuron that arborizes with fine and bleb-type terminals in lobula layers 5 and 6. It is a cholinergic neuron (Varija Raghu et al., 2011).</t>
        </is>
      </c>
      <c r="E438" t="inlineStr">
        <is>
          <t>Fischbach and Dittrich, 1989, Cell Tissue Res. 258(3): 441--475 (flybase.org/reports/FBrf0049410); Varija Raghu et al., 2011, J. Comp. Neurol. 519(1): 162--176 (flybase.org/reports/FBrf0212356)</t>
        </is>
      </c>
      <c r="F438" t="inlineStr"/>
      <c r="G438" t="inlineStr"/>
      <c r="H438" t="inlineStr"/>
    </row>
    <row r="439">
      <c r="A439">
        <f>HYPERLINK("https://www.ebi.ac.uk/ols/ontologies/fbbt/terms?iri=http://purl.obolibrary.org/obo/FBbt_00007396","FBbt:00007396")</f>
        <v/>
      </c>
      <c r="B439" t="inlineStr">
        <is>
          <t>adult local interneuron type B of the lateral ALl1 neuroblast</t>
        </is>
      </c>
      <c r="C439" t="inlineStr">
        <is>
          <t>AL-LN2L; adult antennal lobe local neuron 2; AL-LN2; type B lLN; adult local interneuron type B of the lateral AL neuroblast; antennal lobe local neuron 2L</t>
        </is>
      </c>
      <c r="D439" t="inlineStr">
        <is>
          <t>Ipsilateral local interneuron of the adult antennal lobe that is derived from the lateral antennal lobe neuroblast (ALl1) and whose terminal arbors form glomerular shapes (Lai et al., 2008). Many of these neurons are oligo-glomerular - making connections with only subsets of glomeruli. Its cell body is located at the dorsolateral side of the antennal lobe and the majority of these cells (80-90%) are GABAergic (Okada et al., 2009).</t>
        </is>
      </c>
      <c r="E439" t="inlineStr">
        <is>
          <t>Lai et al., 2008, Development 135(17): 2883--2893 (flybase.org/reports/FBrf0205814); Okada et al., 2009, J. Comp. Neurol. 514(1): 74--91 (flybase.org/reports/FBrf0207526); Tanaka et al., 2012, J. Comp. Neurol. 520(18): 4067--4130 (flybase.org/reports/FBrf0219809)</t>
        </is>
      </c>
      <c r="F439" t="inlineStr"/>
      <c r="G439" t="inlineStr"/>
      <c r="H439" t="inlineStr"/>
    </row>
    <row r="440">
      <c r="A440">
        <f>HYPERLINK("https://www.ebi.ac.uk/ols/ontologies/fbbt/terms?iri=http://purl.obolibrary.org/obo/FBbt_00110621","FBbt:00110621")</f>
        <v/>
      </c>
      <c r="B440" t="inlineStr">
        <is>
          <t>adult fruitless pMP-e (male) neuron</t>
        </is>
      </c>
      <c r="C440" t="inlineStr">
        <is>
          <t>P1 neuron; fru-P neuron; pC1 neuron; pMP-e neuron; pMP4 neuron</t>
        </is>
      </c>
      <c r="D440" t="inlineStr">
        <is>
          <t>pMP-e is a male-specific type of neuron found in the dorsal posterior brain. It extends a primary neurite anterodorsally, which ramifies extensively toward the lateral and medial protocerebrum regions. A long prominent neurite crosses the midline through the anterior superior medial protocerebrum, ending at the corresponding contralateral region (Kimura et al., 2008). These neurons are a subset of the doublesex pC1 neurons (Zhou et al., 2015). It is involved in the decision to initiate courtship song, including pulse and sine song (Philipsborn et al., 2011; O'Sullivan et al., 2018).</t>
        </is>
      </c>
      <c r="E440" t="inlineStr">
        <is>
          <t>Lee et al., 2000, J. Neurobiol. 43(4): 404--426 (flybase.org/reports/FBrf0128543); Kimura et al., 2008, Neuron 59(5): 759--769 (flybase.org/reports/FBrf0205974); Yu et al., 2010, Curr. Biol. 20(18): 1602--1614 (flybase.org/reports/FBrf0211884); Cachero et al., 2010, Curr. Biol. 20(18): 1589--1601 (flybase.org/reports/FBrf0211926); von Philipsborn et al., 2011, Neuron 69(3): 509--522 (flybase.org/reports/FBrf0212984); Zhou et al., 2015, eLife 4: e08477 (flybase.org/reports/FBrf0229653); O'Sullivan et al., 2018, Curr. Biol. 28(17): 2705--2717.e4 (flybase.org/reports/FBrf0240039)</t>
        </is>
      </c>
      <c r="F440" t="inlineStr"/>
      <c r="G440" t="inlineStr"/>
      <c r="H440" t="inlineStr"/>
    </row>
    <row r="441">
      <c r="A441">
        <f>HYPERLINK("https://www.ebi.ac.uk/ols/ontologies/fbbt/terms?iri=http://purl.obolibrary.org/obo/FBbt_00007395","FBbt:00007395")</f>
        <v/>
      </c>
      <c r="B441" t="inlineStr">
        <is>
          <t>adult local interneuron type A of the lateral ALl1 neuroblast</t>
        </is>
      </c>
      <c r="C441" t="inlineStr">
        <is>
          <t>AL-LN1; adult antennal lobe local neuron 1; adult local interneuron type A of the lateral AL neuroblast; type A lLN</t>
        </is>
      </c>
      <c r="D441" t="inlineStr">
        <is>
          <t>Ipsilateral local interneuron of the adult antennal lobe that is derived from the lateral antennal lobe neuroblast (ALl1) and whose terminal arbors do not form glomerular shapes (Lai et al., 2008). Its cell body is located at the dorsolateral side of the antennal lobe and the vast majority of these cells (90-100%) are GABAergic (Okada et al., 2009). It projects to the antennal lobe hub before innervating the glomeruli (Tanaka et al., 2012).</t>
        </is>
      </c>
      <c r="E441" t="inlineStr">
        <is>
          <t>Lai et al., 2008, Development 135(17): 2883--2893 (flybase.org/reports/FBrf0205814); Okada et al., 2009, J. Comp. Neurol. 514(1): 74--91 (flybase.org/reports/FBrf0207526); Tanaka et al., 2012, J. Comp. Neurol. 520(18): 4067--4130 (flybase.org/reports/FBrf0219809)</t>
        </is>
      </c>
      <c r="F441" t="inlineStr"/>
      <c r="G441" t="inlineStr"/>
      <c r="H441" t="inlineStr"/>
    </row>
    <row r="442">
      <c r="A442">
        <f>HYPERLINK("https://www.ebi.ac.uk/ols/ontologies/fbbt/terms?iri=http://purl.obolibrary.org/obo/FBbt_00110533","FBbt:00110533")</f>
        <v/>
      </c>
      <c r="B442" t="inlineStr">
        <is>
          <t>adult fruitless pSP-e neuron</t>
        </is>
      </c>
      <c r="C442" t="inlineStr">
        <is>
          <t>pSP-e neuron</t>
        </is>
      </c>
      <c r="D442" t="inlineStr">
        <is>
          <t>Any neuron (FBbt:00005106) that is part of some adult fruitless pSP-e lineage clone (FBbt:00110532) and that develops from some neuroblast LHp2 (FBbt:00050139).</t>
        </is>
      </c>
      <c r="E442" t="inlineStr">
        <is>
          <t>Cachero et al., 2010, Curr. Biol. 20(18): 1589--1601 (flybase.org/reports/FBrf0211926); Yu et al., 2013, Curr. Biol. 23(8): 633--643 (flybase.org/reports/FBrf0221412); Ito et al., 2013, Curr. Biol. 23(8): 644--655 (flybase.org/reports/FBrf0221438)</t>
        </is>
      </c>
      <c r="F442" t="inlineStr"/>
      <c r="G442" t="inlineStr"/>
      <c r="H442" t="inlineStr"/>
    </row>
    <row r="443">
      <c r="A443">
        <f>HYPERLINK("https://www.ebi.ac.uk/ols/ontologies/fbbt/terms?iri=http://purl.obolibrary.org/obo/FBbt_00110525","FBbt:00110525")</f>
        <v/>
      </c>
      <c r="B443" t="inlineStr">
        <is>
          <t>adult fruitless pSP-b (female) neuron</t>
        </is>
      </c>
      <c r="C443" t="inlineStr">
        <is>
          <t>pSP-b neuron</t>
        </is>
      </c>
      <c r="D443" t="inlineStr">
        <is>
          <t>Any neuron (FBbt:00005106) that is part of some adult fruitless pSP-b (female) lineage clone (FBbt:00110524) and that develops from some neuroblast SLPpl1 (FBbt:00050228) and that is part of some female organism (FBbt:00007011).</t>
        </is>
      </c>
      <c r="E443" t="inlineStr">
        <is>
          <t>Cachero et al., 2010, Curr. Biol. 20(18): 1589--1601 (flybase.org/reports/FBrf0211926); Yu et al., 2013, Curr. Biol. 23(8): 633--643 (flybase.org/reports/FBrf0221412); Ito et al., 2013, Curr. Biol. 23(8): 644--655 (flybase.org/reports/FBrf0221438)</t>
        </is>
      </c>
      <c r="F443" t="inlineStr"/>
      <c r="G443" t="inlineStr"/>
      <c r="H443" t="inlineStr"/>
    </row>
    <row r="444">
      <c r="A444">
        <f>HYPERLINK("https://www.ebi.ac.uk/ols/ontologies/fbbt/terms?iri=http://purl.obolibrary.org/obo/FBbt_00003878","FBbt:00003878")</f>
        <v/>
      </c>
      <c r="B444" t="inlineStr">
        <is>
          <t>lobula columnar neuron Lcn8</t>
        </is>
      </c>
      <c r="C444" t="inlineStr">
        <is>
          <t>LC8; lobular columnar neuron Lcn8</t>
        </is>
      </c>
      <c r="D444" t="inlineStr">
        <is>
          <t>An extrinsic columnar neuron that branches multiple times in layers 5 and 4 and forms a broad arborization in layer 3 with both bleb-type and fine terminals. It is a glutamatergic neuron (Raghu and Borst, 2011).</t>
        </is>
      </c>
      <c r="E444" t="inlineStr">
        <is>
          <t>Fischbach and Dittrich, 1989, Cell Tissue Res. 258(3): 441--475 (flybase.org/reports/FBrf0049410); Raghu and Borst, 2011, PLoS ONE 6(5): e19472 (flybase.org/reports/FBrf0213690)</t>
        </is>
      </c>
      <c r="F444" t="inlineStr"/>
      <c r="G444" t="inlineStr"/>
      <c r="H444" t="inlineStr"/>
    </row>
    <row r="445">
      <c r="A445">
        <f>HYPERLINK("https://www.ebi.ac.uk/ols/ontologies/fbbt/terms?iri=http://purl.obolibrary.org/obo/FBbt_00003876","FBbt:00003876")</f>
        <v/>
      </c>
      <c r="B445" t="inlineStr">
        <is>
          <t>lobula columnar neuron Lcn6</t>
        </is>
      </c>
      <c r="C445" t="inlineStr">
        <is>
          <t>LC6; lobular columnar neuron Lcn6; S4; LC06</t>
        </is>
      </c>
      <c r="D445" t="inlineStr">
        <is>
          <t>An extrinsic columnar neuron whose cell body is in the dorsal lateral cell body rind. It has its main dendritic arbors in lobula layers 4 and 5B, with additional processes in layers 3, 5A and 6. There is some evidence of presynaptic sites in layers 4 and 5B. The processes of adjacent cells overlap. It fasciculates in the anterior optic tract, fasciculating with Lcn9 (Otsuna and Ito, 2006), and innervates an optic glomerulus in the dorsolateral PVLP, ventral to the one from LC16. There are around 77 cells of this type.</t>
        </is>
      </c>
      <c r="E445" t="inlineStr">
        <is>
          <t>Fischbach and Dittrich, 1989, Cell Tissue Res. 258(3): 441--475 (flybase.org/reports/FBrf0049410); Otsuna and Ito, 2006, J. Comp. Neurol. 497(6): 928--958 (flybase.org/reports/FBrf0193607); Wu et al., 2016, eLife 5: e21022 (flybase.org/reports/FBrf0234700)</t>
        </is>
      </c>
      <c r="F445" t="inlineStr"/>
      <c r="G445" t="inlineStr"/>
      <c r="H445" t="inlineStr"/>
    </row>
    <row r="446">
      <c r="A446">
        <f>HYPERLINK("https://www.ebi.ac.uk/ols/ontologies/fbbt/terms?iri=http://purl.obolibrary.org/obo/FBbt_00003877","FBbt:00003877")</f>
        <v/>
      </c>
      <c r="B446" t="inlineStr">
        <is>
          <t>lobula columnar neuron Lcn7</t>
        </is>
      </c>
      <c r="C446" t="inlineStr">
        <is>
          <t>LC7; lobular columnar neuron Lcn7</t>
        </is>
      </c>
      <c r="D446" t="inlineStr">
        <is>
          <t>An extrinsic columnar neuron that enters the lobula at its proximal surface. It has sparse, thin colaterals along its length up to layer 2 where it forms a broad arborization with blebs, and finer arborizations that extend into layer 3.</t>
        </is>
      </c>
      <c r="E446" t="inlineStr">
        <is>
          <t>Fischbach and Dittrich, 1989, Cell Tissue Res. 258(3): 441--475 (flybase.org/reports/FBrf0049410)</t>
        </is>
      </c>
      <c r="F446" t="inlineStr"/>
      <c r="G446" t="inlineStr"/>
      <c r="H446" t="inlineStr"/>
    </row>
    <row r="447">
      <c r="A447">
        <f>HYPERLINK("https://www.ebi.ac.uk/ols/ontologies/fbbt/terms?iri=http://purl.obolibrary.org/obo/FBbt_00047991","FBbt:00047991")</f>
        <v/>
      </c>
      <c r="B447" t="inlineStr">
        <is>
          <t>lobula plate tangential neuron H1</t>
        </is>
      </c>
      <c r="C447" t="inlineStr">
        <is>
          <t>H1 neuron; H1 visual interneuron; H1-cell; H1 cell; heterolateral H1 element</t>
        </is>
      </c>
      <c r="D447" t="inlineStr">
        <is>
          <t>Lobula-innervating tangential neuron that is activated by back-to-front motion during flight. It emerges from the back-to-front layer of the lobula plate, traverses the lobula and projects fronto-medially in close association with the anterior optic tract.</t>
        </is>
      </c>
      <c r="E447" t="inlineStr">
        <is>
          <t>Bausenwein et al., 1990, Brain Res. 509(1): 134--136 (flybase.org/reports/FBrf0051327)</t>
        </is>
      </c>
      <c r="F447" t="inlineStr"/>
      <c r="G447" t="inlineStr"/>
      <c r="H447" t="inlineStr"/>
    </row>
    <row r="448">
      <c r="A448">
        <f>HYPERLINK("https://www.ebi.ac.uk/ols/ontologies/fbbt/terms?iri=http://purl.obolibrary.org/obo/FBbt_00111158","FBbt:00111158")</f>
        <v/>
      </c>
      <c r="B448" t="inlineStr">
        <is>
          <t>adult fruitless pMP6 neuron</t>
        </is>
      </c>
      <c r="C448" t="inlineStr">
        <is>
          <t>pMP6 neuron; fru-P neuron</t>
        </is>
      </c>
      <c r="D448" t="inlineStr">
        <is>
          <t>Any neuron (FBbt:00005106) that is part of some adult fruitless pMP6 lineage clone (FBbt:00111157).</t>
        </is>
      </c>
      <c r="E448" t="inlineStr">
        <is>
          <t>Yu et al., 2010, Curr. Biol. 20(18): 1602--1614 (flybase.org/reports/FBrf0211884)</t>
        </is>
      </c>
      <c r="F448" t="inlineStr"/>
      <c r="G448" t="inlineStr"/>
      <c r="H448" t="inlineStr"/>
    </row>
    <row r="449">
      <c r="A449">
        <f>HYPERLINK("https://www.ebi.ac.uk/ols/ontologies/fbbt/terms?iri=http://purl.obolibrary.org/obo/FBbt_00110607","FBbt:00110607")</f>
        <v/>
      </c>
      <c r="B449" t="inlineStr">
        <is>
          <t>adult fruitless aSP-k (male) neuron</t>
        </is>
      </c>
      <c r="C449" t="inlineStr">
        <is>
          <t>LC1 neuron; fru-aSP3 neuron; aSP-k neuron; aSP8 neuron; aSP3c neuron</t>
        </is>
      </c>
      <c r="D449" t="inlineStr">
        <is>
          <t>Any neuron (FBbt:00005106) that is part of some adult fruitless aSP-k (male) lineage clone (FBbt:00110606) and that develops from some neuroblast LHl1 (FBbt:00050047) and that is part of some male organism (FBbt:00007004).</t>
        </is>
      </c>
      <c r="E449" t="inlineStr">
        <is>
          <t>Lee et al., 2000, J. Neurobiol. 43(4): 404--426 (flybase.org/reports/FBrf0128543); Kimura et al., 2008, Neuron 59(5): 759--769 (flybase.org/reports/FBrf0205974); Yu et al., 2010, Curr. Biol. 20(18): 1602--1614 (flybase.org/reports/FBrf0211884); Cachero et al., 2010, Curr. Biol. 20(18): 1589--1601 (flybase.org/reports/FBrf0211926); Yu et al., 2013, Curr. Biol. 23(8): 633--643 (flybase.org/reports/FBrf0221412); Ito et al., 2013, Curr. Biol. 23(8): 644--655 (flybase.org/reports/FBrf0221438)</t>
        </is>
      </c>
      <c r="F449" t="inlineStr"/>
      <c r="G449" t="inlineStr"/>
      <c r="H449" t="inlineStr"/>
    </row>
    <row r="450">
      <c r="A450">
        <f>HYPERLINK("https://www.ebi.ac.uk/ols/ontologies/fbbt/terms?iri=http://purl.obolibrary.org/obo/FBbt_00110487","FBbt:00110487")</f>
        <v/>
      </c>
      <c r="B450" t="inlineStr">
        <is>
          <t>adult fruitless pIP-e (female) neuron</t>
        </is>
      </c>
      <c r="C450" t="inlineStr">
        <is>
          <t>P4a neuron; P4b neuron; pIP6 neuron; pIP5 neuron; pC2 neuron; fru-P neuron; pIP-e neuron</t>
        </is>
      </c>
      <c r="D450" t="inlineStr">
        <is>
          <t>Any neuron (FBbt:00005106) that is part of some adult fruitless pIP-e (female) lineage clone (FBbt:00110486) and that develops from some neuroblast DL1 (FBbt:00050184) and that is part of some female organism (FBbt:00007011).</t>
        </is>
      </c>
      <c r="E450" t="inlineStr">
        <is>
          <t>Lee et al., 2000, J. Neurobiol. 43(4): 404--426 (flybase.org/reports/FBrf0128543); Kimura et al., 2008, Neuron 59(5): 759--769 (flybase.org/reports/FBrf0205974); Yu et al., 2010, Curr. Biol. 20(18): 1602--1614 (flybase.org/reports/FBrf0211884); Cachero et al., 2010, Curr. Biol. 20(18): 1589--1601 (flybase.org/reports/FBrf0211926); Ito et al., 2013, Curr. Biol. 23(8): 644--655 (flybase.org/reports/FBrf0221438)</t>
        </is>
      </c>
      <c r="F450" t="inlineStr"/>
      <c r="G450" t="inlineStr"/>
      <c r="H450" t="inlineStr"/>
    </row>
    <row r="451">
      <c r="A451">
        <f>HYPERLINK("https://www.ebi.ac.uk/ols/ontologies/fbbt/terms?iri=http://purl.obolibrary.org/obo/FBbt_00110603","FBbt:00110603")</f>
        <v/>
      </c>
      <c r="B451" t="inlineStr">
        <is>
          <t>adult fruitless aSP-h (male) neuron</t>
        </is>
      </c>
      <c r="C451" t="inlineStr">
        <is>
          <t>aSP-h neuron; DC2 neuron</t>
        </is>
      </c>
      <c r="D451" t="inlineStr">
        <is>
          <t>Any neuron (FBbt:00005106) that is part of some adult fruitless aSP-h (male) lineage clone (FBbt:00110602) and that develops from some neuroblast LHl2 (FBbt:00050032) and that is part of some male organism (FBbt:00007004).</t>
        </is>
      </c>
      <c r="E451" t="inlineStr">
        <is>
          <t>Cachero et al., 2010, Curr. Biol. 20(18): 1589--1601 (flybase.org/reports/FBrf0211926); Yu et al., 2013, Curr. Biol. 23(8): 633--643 (flybase.org/reports/FBrf0221412); Ito et al., 2013, Curr. Biol. 23(8): 644--655 (flybase.org/reports/FBrf0221438)</t>
        </is>
      </c>
      <c r="F451" t="inlineStr"/>
      <c r="G451" t="inlineStr"/>
      <c r="H451" t="inlineStr"/>
    </row>
    <row r="452">
      <c r="A452">
        <f>HYPERLINK("https://www.ebi.ac.uk/ols/ontologies/fbbt/terms?iri=http://purl.obolibrary.org/obo/FBbt_00110631","FBbt:00110631")</f>
        <v/>
      </c>
      <c r="B452" t="inlineStr">
        <is>
          <t>antennal mechanosensory and motor center AMMC-VNC projection neuron</t>
        </is>
      </c>
      <c r="C452" t="inlineStr">
        <is>
          <t>aPN(desc) neuron; AMMC projection neuron, descending; AMMC-VNC PN</t>
        </is>
      </c>
      <c r="D452" t="inlineStr">
        <is>
          <t>Projection neuron that innervates both zones A and B of the antennal mechanosensory and motor center (AMMC) and projects to the contralateral thoracico-abdominal ganglion. One branch innervates the contralateral AMMC zones A and B.</t>
        </is>
      </c>
      <c r="E452" t="inlineStr">
        <is>
          <t>Lai et al., 2012, Proc. Natl. Acad. Sci. U.S.A. 109(7): 2607--2612 (flybase.org/reports/FBrf0217491); Vaughan et al., 2014, Curr. Biol. 24(10): 1039--1049 (flybase.org/reports/FBrf0225096)</t>
        </is>
      </c>
      <c r="F452" t="inlineStr"/>
      <c r="G452" t="inlineStr"/>
      <c r="H452" t="inlineStr"/>
    </row>
    <row r="453">
      <c r="A453">
        <f>HYPERLINK("https://www.ebi.ac.uk/ols/ontologies/fbbt/terms?iri=http://purl.obolibrary.org/obo/FBbt_00007445","FBbt:00007445")</f>
        <v/>
      </c>
      <c r="B453" t="inlineStr">
        <is>
          <t>mediolateral antennal lobe tract projection neuron 1</t>
        </is>
      </c>
      <c r="C453" t="inlineStr">
        <is>
          <t>adult uniglomerular ventral antennal lobe projection neuron; AL-mlPN1; adult uniglomerular antennal lobe projection neuron vPN; adult uniglomerular vPN</t>
        </is>
      </c>
      <c r="D453" t="inlineStr">
        <is>
          <t>Adult unilateral, uniglomerular antennal lobe projection neuron that descends from the ventral ALv1 neuroblast and fasciculates with the mediolateral antennal lobe tract (mlALT) (Lai et al., 2008; Jefferis et al., 2007, Tanaka et al., 2012) and innervates the lateral horn only (Jefferis et al., 2007, Tanaka et al., 2012). There are at least 10 neurons of this type (Tanaka et al., 2012).</t>
        </is>
      </c>
      <c r="E453" t="inlineStr">
        <is>
          <t>Jefferis et al., 2007, Cell 128(6): 1187--1203 (flybase.org/reports/FBrf0203179); Lai et al., 2008, Development 135(17): 2883--2893 (flybase.org/reports/FBrf0205814); Tanaka et al., 2012, J. Comp. Neurol. 520(18): 4067--4130 (flybase.org/reports/FBrf0219809)</t>
        </is>
      </c>
      <c r="F453" t="inlineStr"/>
      <c r="G453" t="inlineStr"/>
      <c r="H453" t="inlineStr"/>
    </row>
    <row r="454">
      <c r="A454">
        <f>HYPERLINK("https://www.ebi.ac.uk/ols/ontologies/fbbt/terms?iri=http://purl.obolibrary.org/obo/FBbt_00007431","FBbt:00007431")</f>
        <v/>
      </c>
      <c r="B454" t="inlineStr">
        <is>
          <t>DN3a neuron</t>
        </is>
      </c>
      <c r="C454" t="inlineStr">
        <is>
          <t>adult dorsal neuron-3a.</t>
        </is>
      </c>
      <c r="D454" t="inlineStr">
        <is>
          <t>DN (dorsal Period-expressing neuron of adult brain) with a medium-sized cell body, located in the lateral-most cluster of per expressing DN neurons. There are two cells per hemisphere, each of which project anteriorly to the aMe (Helfrich-Forster et al., 2007).</t>
        </is>
      </c>
      <c r="E454" t="inlineStr">
        <is>
          <t>Helfrich-Forster et al., 2007, J. Comp. Neurol. 500(1): 47--70 (flybase.org/reports/FBrf0193849)</t>
        </is>
      </c>
      <c r="F454" t="inlineStr"/>
      <c r="G454" t="inlineStr"/>
      <c r="H454" t="inlineStr"/>
    </row>
    <row r="455">
      <c r="A455">
        <f>HYPERLINK("https://www.ebi.ac.uk/ols/ontologies/fbbt/terms?iri=http://purl.obolibrary.org/obo/FBbt_00111015","FBbt:00111015")</f>
        <v/>
      </c>
      <c r="B455" t="inlineStr">
        <is>
          <t>dopaminergic PAM neuron 1</t>
        </is>
      </c>
      <c r="C455" t="inlineStr">
        <is>
          <t>PAM-gamma5; PAM-01; fru-aSP2 neuron; aSP13 neuron; adult fruitless aSP13 neuron</t>
        </is>
      </c>
      <c r="D455" t="inlineStr">
        <is>
          <t>Dopaminergic neuron of the PAM cluster whose dendrites arborize the superior medial protocerebrum. The axon projects to the gamma lobe slice 5. There are around 8-21 neurons of this type in each hemisphere. These neurons form the adult fruitless aSP13 lineage clone.</t>
        </is>
      </c>
      <c r="E455" t="inlineStr">
        <is>
          <t>Lee et al., 2000, J. Neurobiol. 43(4): 404--426 (flybase.org/reports/FBrf0128543); Yu et al., 2010, Curr. Biol. 20(18): 1602--1614 (flybase.org/reports/FBrf0211884); Aso et al., 2014, eLife 3: e04577 (flybase.org/reports/FBrf0227179); Zhao et al., 2018, eLife 7: e31425 (flybase.org/reports/FBrf0238058)</t>
        </is>
      </c>
      <c r="F455" t="inlineStr"/>
      <c r="G455" t="inlineStr"/>
      <c r="H455" t="inlineStr"/>
    </row>
    <row r="456">
      <c r="A456">
        <f>HYPERLINK("https://www.ebi.ac.uk/ols/ontologies/fbbt/terms?iri=http://purl.obolibrary.org/obo/FBbt_00110499","FBbt:00110499")</f>
        <v/>
      </c>
      <c r="B456" t="inlineStr">
        <is>
          <t>adult fruitless pMP-a (female) neuron</t>
        </is>
      </c>
      <c r="C456" t="inlineStr">
        <is>
          <t>pMP-a neuron; fru-SP2 neuron</t>
        </is>
      </c>
      <c r="D456" t="inlineStr">
        <is>
          <t>Any neuron (FBbt:00005106) that is part of some adult fruitless pMP-a (female) lineage clone (FBbt:00110498) and that develops from some neuroblast DM1 (FBbt:00050018) and that is part of some female organism (FBbt:00007011).</t>
        </is>
      </c>
      <c r="E456" t="inlineStr">
        <is>
          <t>Lee et al., 2000, J. Neurobiol. 43(4): 404--426 (flybase.org/reports/FBrf0128543); Cachero et al., 2010, Curr. Biol. 20(18): 1589--1601 (flybase.org/reports/FBrf0211926); Yu et al., 2013, Curr. Biol. 23(8): 633--643 (flybase.org/reports/FBrf0221412); Ito et al., 2013, Curr. Biol. 23(8): 644--655 (flybase.org/reports/FBrf0221438)</t>
        </is>
      </c>
      <c r="F456" t="inlineStr"/>
      <c r="G456" t="inlineStr"/>
      <c r="H456" t="inlineStr"/>
    </row>
    <row r="457">
      <c r="A457">
        <f>HYPERLINK("https://www.ebi.ac.uk/ols/ontologies/fbbt/terms?iri=http://purl.obolibrary.org/obo/FBbt_00047873","FBbt:00047873")</f>
        <v/>
      </c>
      <c r="B457" t="inlineStr">
        <is>
          <t>complex columnar visual projection neuron</t>
        </is>
      </c>
      <c r="C457" t="inlineStr">
        <is>
          <t>CC visual projection neuron; complex-type VPN</t>
        </is>
      </c>
      <c r="D457" t="inlineStr">
        <is>
          <t>Adult visual projection neuron with a columnar arborization pattern that connects multiple optic lobe neuropil domains (lobula, lobula plate, medulla) and projects to the central brain (Otsuna and Ito, 2006).</t>
        </is>
      </c>
      <c r="E457" t="inlineStr">
        <is>
          <t>Otsuna and Ito, 2006, J. Comp. Neurol. 497(6): 928--958 (flybase.org/reports/FBrf0193607)</t>
        </is>
      </c>
      <c r="F457" t="inlineStr"/>
      <c r="G457" t="inlineStr"/>
      <c r="H457" t="inlineStr"/>
    </row>
    <row r="458">
      <c r="A458">
        <f>HYPERLINK("https://www.ebi.ac.uk/ols/ontologies/fbbt/terms?iri=http://purl.obolibrary.org/obo/FBbt_00110483","FBbt:00110483")</f>
        <v/>
      </c>
      <c r="B458" t="inlineStr">
        <is>
          <t>adult fruitless pIP-c neuron</t>
        </is>
      </c>
      <c r="C458" t="inlineStr">
        <is>
          <t>pIP7 neuron; pIP-c neuron</t>
        </is>
      </c>
      <c r="D458" t="inlineStr">
        <is>
          <t>Any neuron (FBbt:00005106) that is part of some adult fruitless pIP-c lineage clone (FBbt:00110482) and that develops from some neuroblast VPNp&amp;v1 (FBbt:00050160).</t>
        </is>
      </c>
      <c r="E458" t="inlineStr">
        <is>
          <t>Yu et al., 2010, Curr. Biol. 20(18): 1602--1614 (flybase.org/reports/FBrf0211884); Cachero et al., 2010, Curr. Biol. 20(18): 1589--1601 (flybase.org/reports/FBrf0211926); Yu et al., 2013, Curr. Biol. 23(8): 633--643 (flybase.org/reports/FBrf0221412); Ito et al., 2013, Curr. Biol. 23(8): 644--655 (flybase.org/reports/FBrf0221438)</t>
        </is>
      </c>
      <c r="F458" t="inlineStr"/>
      <c r="G458" t="inlineStr"/>
      <c r="H458" t="inlineStr"/>
    </row>
    <row r="459">
      <c r="A459">
        <f>HYPERLINK("https://www.ebi.ac.uk/ols/ontologies/fbbt/terms?iri=http://purl.obolibrary.org/obo/FBbt_00110485","FBbt:00110485")</f>
        <v/>
      </c>
      <c r="B459" t="inlineStr">
        <is>
          <t>adult fruitless pIP-d neuron</t>
        </is>
      </c>
      <c r="C459" t="inlineStr">
        <is>
          <t>Lv1 neuron; pIP-d neuron; Ld neuron</t>
        </is>
      </c>
      <c r="D459" t="inlineStr">
        <is>
          <t>Any neuron (FBbt:00005106) that is part of some adult fruitless pIP-d lineage clone (FBbt:00110484) and that develops from some neuroblast VPNd2 (FBbt:00110383).</t>
        </is>
      </c>
      <c r="E459" t="inlineStr">
        <is>
          <t>Kimura et al., 2008, Neuron 59(5): 759--769 (flybase.org/reports/FBrf0205974); Cachero et al., 2010, Curr. Biol. 20(18): 1589--1601 (flybase.org/reports/FBrf0211926); Ito et al., 2013, Curr. Biol. 23(8): 644--655 (flybase.org/reports/FBrf0221438)</t>
        </is>
      </c>
      <c r="F459" t="inlineStr"/>
      <c r="G459" t="inlineStr"/>
      <c r="H459" t="inlineStr"/>
    </row>
    <row r="460">
      <c r="A460">
        <f>HYPERLINK("https://www.ebi.ac.uk/ols/ontologies/fbbt/terms?iri=http://purl.obolibrary.org/obo/FBbt_00110491","FBbt:00110491")</f>
        <v/>
      </c>
      <c r="B460" t="inlineStr">
        <is>
          <t>adult fruitless pIP-g neuron</t>
        </is>
      </c>
      <c r="C460" t="inlineStr">
        <is>
          <t>pIP-g neuron</t>
        </is>
      </c>
      <c r="D460" t="inlineStr">
        <is>
          <t>Any neuron (FBbt:00005106) that is part of some adult fruitless pIP-g lineage clone (FBbt:00110490) and that develops from some neuroblast DM5 (FBbt:00050059).</t>
        </is>
      </c>
      <c r="E460" t="inlineStr">
        <is>
          <t>Cachero et al., 2010, Curr. Biol. 20(18): 1589--1601 (flybase.org/reports/FBrf0211926); Yu et al., 2013, Curr. Biol. 23(8): 633--643 (flybase.org/reports/FBrf0221412); Ito et al., 2013, Curr. Biol. 23(8): 644--655 (flybase.org/reports/FBrf0221438)</t>
        </is>
      </c>
      <c r="F460" t="inlineStr"/>
      <c r="G460" t="inlineStr"/>
      <c r="H460" t="inlineStr"/>
    </row>
    <row r="461">
      <c r="A461">
        <f>HYPERLINK("https://www.ebi.ac.uk/ols/ontologies/fbbt/terms?iri=http://purl.obolibrary.org/obo/FBbt_00003862","FBbt:00003862")</f>
        <v/>
      </c>
      <c r="B461" t="inlineStr">
        <is>
          <t>lobula tangential neuron Lt3</t>
        </is>
      </c>
      <c r="C461" t="inlineStr">
        <is>
          <t>lobular tangential neuron Lt3; LT3</t>
        </is>
      </c>
      <c r="D461" t="inlineStr">
        <is>
          <t>A lobula tangential neuron that extends along the length of lobula layer 2, forming bleb-type terminals from short colaterals within the layer.</t>
        </is>
      </c>
      <c r="E461" t="inlineStr">
        <is>
          <t>Fischbach and Dittrich, 1989, Cell Tissue Res. 258(3): 441--475 (flybase.org/reports/FBrf0049410)</t>
        </is>
      </c>
      <c r="F461" t="inlineStr"/>
      <c r="G461" t="inlineStr"/>
      <c r="H461" t="inlineStr"/>
    </row>
    <row r="462">
      <c r="A462">
        <f>HYPERLINK("https://www.ebi.ac.uk/ols/ontologies/fbbt/terms?iri=http://purl.obolibrary.org/obo/FBbt_00110415","FBbt:00110415")</f>
        <v/>
      </c>
      <c r="B462" t="inlineStr">
        <is>
          <t>adult fruitless aDT-a neuron</t>
        </is>
      </c>
      <c r="C462" t="inlineStr">
        <is>
          <t>fru-AL neuron; aDT3 neuron; aDT-a neuron; AL3 neuron</t>
        </is>
      </c>
      <c r="D462" t="inlineStr">
        <is>
          <t>Any neuron (FBbt:00005106) that is part of some adult fruitless aDT-a lineage clone (FBbt:00110414) and that develops from some neuroblast ALad1 (FBbt:00067346).</t>
        </is>
      </c>
      <c r="E462" t="inlineStr">
        <is>
          <t>Lee et al., 2000, J. Neurobiol. 43(4): 404--426 (flybase.org/reports/FBrf0128543); Kimura et al., 2008, Neuron 59(5): 759--769 (flybase.org/reports/FBrf0205974); Yu et al., 2010, Curr. Biol. 20(18): 1602--1614 (flybase.org/reports/FBrf0211884); Cachero et al., 2010, Curr. Biol. 20(18): 1589--1601 (flybase.org/reports/FBrf0211926); Yu et al., 2013, Curr. Biol. 23(8): 633--643 (flybase.org/reports/FBrf0221412); Ito et al., 2013, Curr. Biol. 23(8): 644--655 (flybase.org/reports/FBrf0221438)</t>
        </is>
      </c>
      <c r="F462" t="inlineStr"/>
      <c r="G462" t="inlineStr"/>
      <c r="H462" t="inlineStr"/>
    </row>
    <row r="463">
      <c r="A463">
        <f>HYPERLINK("https://www.ebi.ac.uk/ols/ontologies/fbbt/terms?iri=http://purl.obolibrary.org/obo/FBbt_00003863","FBbt:00003863")</f>
        <v/>
      </c>
      <c r="B463" t="inlineStr">
        <is>
          <t>lobula tangential neuron Lt4</t>
        </is>
      </c>
      <c r="C463" t="inlineStr">
        <is>
          <t>lobular tangential neuron Lt4; LT4</t>
        </is>
      </c>
      <c r="D463" t="inlineStr">
        <is>
          <t>A lobula tangential neuron that enters the lobula through its proximal side where it arborizes to cover much of layer 5 and 6 with distinctive bleb-type terminals from which short fine terminal branches project. It is a glutamatergic neuron (Raghu and Borst, 2011).</t>
        </is>
      </c>
      <c r="E463" t="inlineStr">
        <is>
          <t>Fischbach and Dittrich, 1989, Cell Tissue Res. 258(3): 441--475 (flybase.org/reports/FBrf0049410); Raghu and Borst, 2011, PLoS ONE 6(5): e19472 (flybase.org/reports/FBrf0213690)</t>
        </is>
      </c>
      <c r="F463" t="inlineStr"/>
      <c r="G463" t="inlineStr"/>
      <c r="H463" t="inlineStr"/>
    </row>
    <row r="464">
      <c r="A464">
        <f>HYPERLINK("https://www.ebi.ac.uk/ols/ontologies/fbbt/terms?iri=http://purl.obolibrary.org/obo/FBbt_00003860","FBbt:00003860")</f>
        <v/>
      </c>
      <c r="B464" t="inlineStr">
        <is>
          <t>lobula tangential neuron Lt1</t>
        </is>
      </c>
      <c r="C464" t="inlineStr">
        <is>
          <t>LT1; lobular tangential neuron 1; lobular tangential neuron Lt1</t>
        </is>
      </c>
      <c r="D464" t="inlineStr">
        <is>
          <t>A lobula tangential neuron that sends a thick projection into the proximal lobula that bifurcates with the combined terminal arbors of both branches covering the length of lobula layers 2 and 3 (Fischbach and Dittrich, 1989). Its axon innervates the ventrolateral protocerebrum (Otsuna and Ito, 2006).</t>
        </is>
      </c>
      <c r="E464" t="inlineStr">
        <is>
          <t>Fischbach and Dittrich, 1989, Cell Tissue Res. 258(3): 441--475 (flybase.org/reports/FBrf0049410); Otsuna and Ito, 2006, J. Comp. Neurol. 497(6): 928--958 (flybase.org/reports/FBrf0193607)</t>
        </is>
      </c>
      <c r="F464" t="inlineStr"/>
      <c r="G464" t="inlineStr"/>
      <c r="H464" t="inlineStr"/>
    </row>
    <row r="465">
      <c r="A465">
        <f>HYPERLINK("https://www.ebi.ac.uk/ols/ontologies/fbbt/terms?iri=http://purl.obolibrary.org/obo/FBbt_00110481","FBbt:00110481")</f>
        <v/>
      </c>
      <c r="B465" t="inlineStr">
        <is>
          <t>adult fruitless pIP-b neuron</t>
        </is>
      </c>
      <c r="C465" t="inlineStr">
        <is>
          <t>Lv2 neuron; fru-Lv neuron; pIP-b neuron; pIP8 neuron; DC neuron</t>
        </is>
      </c>
      <c r="D465" t="inlineStr">
        <is>
          <t>Any neuron (FBbt:00005106) that is part of some adult fruitless pIP-b lineage clone (FBbt:00110480) and that develops from some neuroblast VPNp1 (FBbt:00050249).</t>
        </is>
      </c>
      <c r="E465" t="inlineStr">
        <is>
          <t>Lee et al., 2000, J. Neurobiol. 43(4): 404--426 (flybase.org/reports/FBrf0128543); Kimura et al., 2008, Neuron 59(5): 759--769 (flybase.org/reports/FBrf0205974); Yu et al., 2010, Curr. Biol. 20(18): 1602--1614 (flybase.org/reports/FBrf0211884); Cachero et al., 2010, Curr. Biol. 20(18): 1589--1601 (flybase.org/reports/FBrf0211926); Yu et al., 2013, Curr. Biol. 23(8): 633--643 (flybase.org/reports/FBrf0221412); Ito et al., 2013, Curr. Biol. 23(8): 644--655 (flybase.org/reports/FBrf0221438)</t>
        </is>
      </c>
      <c r="F465" t="inlineStr"/>
      <c r="G465" t="inlineStr"/>
      <c r="H465" t="inlineStr"/>
    </row>
    <row r="466">
      <c r="A466">
        <f>HYPERLINK("https://www.ebi.ac.uk/ols/ontologies/fbbt/terms?iri=http://purl.obolibrary.org/obo/FBbt_00110437","FBbt:00110437")</f>
        <v/>
      </c>
      <c r="B466" t="inlineStr">
        <is>
          <t>adult fruitless aIP-d (female) neuron</t>
        </is>
      </c>
      <c r="C466" t="inlineStr">
        <is>
          <t>aIP1 neuron; aIP-d neuron; AL6b neuron; fru-AL neuron</t>
        </is>
      </c>
      <c r="D466" t="inlineStr">
        <is>
          <t>Any neuron (FBbt:00005106) that is part of some adult fruitless aIP-d (female) lineage clone (FBbt:00110436) and that is part of some female organism (FBbt:00007011).</t>
        </is>
      </c>
      <c r="E466" t="inlineStr">
        <is>
          <t>Cachero et al., 2010, Curr. Biol. 20(18): 1589--1601 (flybase.org/reports/FBrf0211926)</t>
        </is>
      </c>
      <c r="F466" t="inlineStr"/>
      <c r="G466" t="inlineStr"/>
      <c r="H466" t="inlineStr"/>
    </row>
    <row r="467">
      <c r="A467">
        <f>HYPERLINK("https://www.ebi.ac.uk/ols/ontologies/fbbt/terms?iri=http://purl.obolibrary.org/obo/FBbt_00003861","FBbt:00003861")</f>
        <v/>
      </c>
      <c r="B467" t="inlineStr">
        <is>
          <t>lobula tangential neuron Lt2</t>
        </is>
      </c>
      <c r="C467" t="inlineStr">
        <is>
          <t>LT2; lobular tangential neuron Lt2</t>
        </is>
      </c>
      <c r="D467" t="inlineStr">
        <is>
          <t>Lobula tangential neuron that arborizes in the lobula.</t>
        </is>
      </c>
      <c r="E467" t="inlineStr">
        <is>
          <t>Fischbach and Dittrich, 1989, Cell Tissue Res. 258(3): 441--475 (flybase.org/reports/FBrf0049410)</t>
        </is>
      </c>
      <c r="F467" t="inlineStr"/>
      <c r="G467" t="inlineStr"/>
      <c r="H467" t="inlineStr"/>
    </row>
    <row r="468">
      <c r="A468">
        <f>HYPERLINK("https://www.ebi.ac.uk/ols/ontologies/fbbt/terms?iri=http://purl.obolibrary.org/obo/FBbt_00110101","FBbt:00110101")</f>
        <v/>
      </c>
      <c r="B468" t="inlineStr">
        <is>
          <t>mushroom body vertical lobe arborizing neuron 2 alpha</t>
        </is>
      </c>
      <c r="C468" t="inlineStr">
        <is>
          <t>MBON-alpha2sc; MBON-18; MB-V2 alpha</t>
        </is>
      </c>
      <c r="D468" t="inlineStr">
        <is>
          <t>A mushroom body ventral lobe arborizing neuron 2 that innervates across the shaft of the alpha lobe (slice 2) in the surface and core layers of the ipsilateral mushroom body and projects bilaterally to the superior intermediate protocerebrum, superior lateral protocerebrum and dorsal lateral horn. There is one neuron of this type in each hemisphere.</t>
        </is>
      </c>
      <c r="E468" t="inlineStr">
        <is>
          <t>Séjourné et al., 2011, Nat. Neurosci. 14(7): 903--910 (flybase.org/reports/FBrf0214029); Aso et al., 2014, eLife 3: e04577 (flybase.org/reports/FBrf0227179)</t>
        </is>
      </c>
      <c r="F468" t="inlineStr"/>
      <c r="G468" t="inlineStr"/>
      <c r="H468" t="inlineStr"/>
    </row>
    <row r="469">
      <c r="A469">
        <f>HYPERLINK("https://www.ebi.ac.uk/ols/ontologies/fbbt/terms?iri=http://purl.obolibrary.org/obo/FBbt_00110535","FBbt:00110535")</f>
        <v/>
      </c>
      <c r="B469" t="inlineStr">
        <is>
          <t>adult fruitless pSP-f neuron</t>
        </is>
      </c>
      <c r="C469" t="inlineStr">
        <is>
          <t>pSP-f neuron</t>
        </is>
      </c>
      <c r="D469" t="inlineStr">
        <is>
          <t>Any neuron (FBbt:00005106) that is part of some adult fruitless pSP-f lineage clone (FBbt:00110534) and that develops from some neuroblast LHl3 (FBbt:00050255).</t>
        </is>
      </c>
      <c r="E469" t="inlineStr">
        <is>
          <t>Cachero et al., 2010, Curr. Biol. 20(18): 1589--1601 (flybase.org/reports/FBrf0211926); Yu et al., 2013, Curr. Biol. 23(8): 633--643 (flybase.org/reports/FBrf0221412); Ito et al., 2013, Curr. Biol. 23(8): 644--655 (flybase.org/reports/FBrf0221438)</t>
        </is>
      </c>
      <c r="F469" t="inlineStr"/>
      <c r="G469" t="inlineStr"/>
      <c r="H469" t="inlineStr"/>
    </row>
    <row r="470">
      <c r="A470">
        <f>HYPERLINK("https://www.ebi.ac.uk/ols/ontologies/fbbt/terms?iri=http://purl.obolibrary.org/obo/FBbt_00048092","FBbt:00048092")</f>
        <v/>
      </c>
      <c r="B470" t="inlineStr">
        <is>
          <t>lateral accessory lobe intrinsic neuron</t>
        </is>
      </c>
      <c r="C470" t="inlineStr">
        <is>
          <t>LALI; intrinsic element of the vbos; ventral body intrinsic neuron</t>
        </is>
      </c>
      <c r="D470" t="inlineStr">
        <is>
          <t>Large field neuron that innervates only the lateral accessory lobe. One of these neurons, arborizing in both hemispheres, was identified by Hanesh et al., 1989.</t>
        </is>
      </c>
      <c r="E470" t="inlineStr">
        <is>
          <t>Hanesch et al., 1989, Cell Tissue Res. 257(2): 343--366 (flybase.org/reports/FBrf0049409)</t>
        </is>
      </c>
      <c r="F470" t="inlineStr"/>
      <c r="G470" t="inlineStr"/>
      <c r="H470" t="inlineStr"/>
    </row>
    <row r="471">
      <c r="A471">
        <f>HYPERLINK("https://www.ebi.ac.uk/ols/ontologies/fbbt/terms?iri=http://purl.obolibrary.org/obo/FBbt_00003869","FBbt:00003869")</f>
        <v/>
      </c>
      <c r="B471" t="inlineStr">
        <is>
          <t>lobula tangential neuron Lt10</t>
        </is>
      </c>
      <c r="C471" t="inlineStr">
        <is>
          <t>LT10; lobular tangential neuron Lt10</t>
        </is>
      </c>
      <c r="D471" t="inlineStr">
        <is>
          <t>A lobula tangential neuron that branches in lobula layer 6 to form linking fibers that arborize in lobula layers 2 and 3. The combined arbor covers the length of these layers. There is only a single neuron of this class per optic lobe. Its cell body is located in the dorsal area of the lateral cell body region.</t>
        </is>
      </c>
      <c r="E471" t="inlineStr">
        <is>
          <t>Fischbach and Dittrich, 1989, Cell Tissue Res. 258(3): 441--475 (flybase.org/reports/FBrf0049410)</t>
        </is>
      </c>
      <c r="F471" t="inlineStr"/>
      <c r="G471" t="inlineStr"/>
      <c r="H471" t="inlineStr"/>
    </row>
    <row r="472">
      <c r="A472">
        <f>HYPERLINK("https://www.ebi.ac.uk/ols/ontologies/fbbt/terms?iri=http://purl.obolibrary.org/obo/FBbt_00110102","FBbt:00110102")</f>
        <v/>
      </c>
      <c r="B472" t="inlineStr">
        <is>
          <t>mushroom body vertical lobe arborizing neuron 2 alpha'</t>
        </is>
      </c>
      <c r="C472" t="inlineStr">
        <is>
          <t>["MB-V2 alpha'"]</t>
        </is>
      </c>
      <c r="D472" t="inlineStr">
        <is>
          <t>A mushroom body ventral lobe arborizing neuron 2 that innervates across the shaft of the alpha' lobe (slice 3) of the ipsilateral mushroom body and projects bilaterally to the same regions of the lateral horn (ventral and medial domains), superior intermediate protocerebrum and superior lateral protocerebrum. There are two subtypes, one arborizes in the alpha' anterior-posterior domain (MBON-16, MBON-alpha'3ap) and the other the middle domain (MBON-17, MBON-alpha'3m). The axons of the former extend to a region ventral to the lateral horn, whereas the axons of the latter stop at the lateral horn. There is one neuron of the subtype MBON-16 and 2 MBON-17 in each hemisphere.</t>
        </is>
      </c>
      <c r="E472" t="inlineStr">
        <is>
          <t>Séjourné et al., 2011, Nat. Neurosci. 14(7): 903--910 (flybase.org/reports/FBrf0214029); Aso et al., 2014, eLife 3: e04577 (flybase.org/reports/FBrf0227179)</t>
        </is>
      </c>
      <c r="F472" t="inlineStr"/>
      <c r="G472" t="inlineStr"/>
      <c r="H472" t="inlineStr"/>
    </row>
    <row r="473">
      <c r="A473">
        <f>HYPERLINK("https://www.ebi.ac.uk/ols/ontologies/fbbt/terms?iri=http://purl.obolibrary.org/obo/FBbt_00003867","FBbt:00003867")</f>
        <v/>
      </c>
      <c r="B473" t="inlineStr">
        <is>
          <t>lobula tangential neuron Lt8</t>
        </is>
      </c>
      <c r="C473" t="inlineStr">
        <is>
          <t>LT8; lobular tangential neuron Lt8</t>
        </is>
      </c>
      <c r="D473" t="inlineStr">
        <is>
          <t>Lobula tangential neuron that arborizes in the lobula.</t>
        </is>
      </c>
      <c r="E473" t="inlineStr">
        <is>
          <t>Fischbach and Dittrich, 1989, Cell Tissue Res. 258(3): 441--475 (flybase.org/reports/FBrf0049410)</t>
        </is>
      </c>
      <c r="F473" t="inlineStr"/>
      <c r="G473" t="inlineStr"/>
      <c r="H473" t="inlineStr"/>
    </row>
    <row r="474">
      <c r="A474">
        <f>HYPERLINK("https://www.ebi.ac.uk/ols/ontologies/fbbt/terms?iri=http://purl.obolibrary.org/obo/FBbt_00003866","FBbt:00003866")</f>
        <v/>
      </c>
      <c r="B474" t="inlineStr">
        <is>
          <t>lobula tangential neuron Lt7</t>
        </is>
      </c>
      <c r="C474" t="inlineStr">
        <is>
          <t>lobular tangential neuron Lt7; LT7</t>
        </is>
      </c>
      <c r="D474" t="inlineStr">
        <is>
          <t>A lobula tangential neuron that branches extensively as it enters the lobula in layer 6, with each branch forming a fine, bushy arbor. Together, these arbors cover the whole width of layer 6.</t>
        </is>
      </c>
      <c r="E474" t="inlineStr">
        <is>
          <t>Fischbach and Dittrich, 1989, Cell Tissue Res. 258(3): 441--475 (flybase.org/reports/FBrf0049410)</t>
        </is>
      </c>
      <c r="F474" t="inlineStr"/>
      <c r="G474" t="inlineStr"/>
      <c r="H474" t="inlineStr"/>
    </row>
    <row r="475">
      <c r="A475">
        <f>HYPERLINK("https://www.ebi.ac.uk/ols/ontologies/fbbt/terms?iri=http://purl.obolibrary.org/obo/FBbt_00003868","FBbt:00003868")</f>
        <v/>
      </c>
      <c r="B475" t="inlineStr">
        <is>
          <t>lobula tangential neuron Lt9</t>
        </is>
      </c>
      <c r="C475" t="inlineStr">
        <is>
          <t>LT9; lobular tangential neuron Lt9</t>
        </is>
      </c>
      <c r="D475" t="inlineStr">
        <is>
          <t>A lobula tangential neuron that arborizes throughout lobula layer 1. The dendrites of this neuron frequently form conspicuous loops extending into the second optic chiasm.</t>
        </is>
      </c>
      <c r="E475" t="inlineStr">
        <is>
          <t>Fischbach and Dittrich, 1989, Cell Tissue Res. 258(3): 441--475 (flybase.org/reports/FBrf0049410)</t>
        </is>
      </c>
      <c r="F475" t="inlineStr"/>
      <c r="G475" t="inlineStr"/>
      <c r="H475" t="inlineStr"/>
    </row>
    <row r="476">
      <c r="A476">
        <f>HYPERLINK("https://www.ebi.ac.uk/ols/ontologies/fbbt/terms?iri=http://purl.obolibrary.org/obo/FBbt_00048091","FBbt:00048091")</f>
        <v/>
      </c>
      <c r="B476" t="inlineStr">
        <is>
          <t>nodulus intrinsic neuron</t>
        </is>
      </c>
      <c r="C476" t="inlineStr">
        <is>
          <t>large field neuron of the no; NOI</t>
        </is>
      </c>
      <c r="D476" t="inlineStr">
        <is>
          <t>Large field neuron that innervates only the nodulus. One of these neurons, arborizing in both hemispheres, was identified by Hanesh et al., 1989.</t>
        </is>
      </c>
      <c r="E476" t="inlineStr">
        <is>
          <t>Hanesch et al., 1989, Cell Tissue Res. 257(2): 343--366 (flybase.org/reports/FBrf0049409)</t>
        </is>
      </c>
      <c r="F476" t="inlineStr"/>
      <c r="G476" t="inlineStr"/>
      <c r="H476" t="inlineStr"/>
    </row>
    <row r="477">
      <c r="A477">
        <f>HYPERLINK("https://www.ebi.ac.uk/ols/ontologies/fbbt/terms?iri=http://purl.obolibrary.org/obo/FBbt_00003864","FBbt:00003864")</f>
        <v/>
      </c>
      <c r="B477" t="inlineStr">
        <is>
          <t>lobula tangential neuron Lt5</t>
        </is>
      </c>
      <c r="C477" t="inlineStr">
        <is>
          <t>lobular tangential neuron Lt5; LT5</t>
        </is>
      </c>
      <c r="D477" t="inlineStr">
        <is>
          <t>A lobula tangential neuron that projects along the distal surface of the lobula (closest to the second optic chiasm), and send branches into lobula layer 2, where they form bleb-type terminals.</t>
        </is>
      </c>
      <c r="E477" t="inlineStr">
        <is>
          <t>Fischbach and Dittrich, 1989, Cell Tissue Res. 258(3): 441--475 (flybase.org/reports/FBrf0049410)</t>
        </is>
      </c>
      <c r="F477" t="inlineStr"/>
      <c r="G477" t="inlineStr"/>
      <c r="H477" t="inlineStr"/>
    </row>
    <row r="478">
      <c r="A478">
        <f>HYPERLINK("https://www.ebi.ac.uk/ols/ontologies/fbbt/terms?iri=http://purl.obolibrary.org/obo/FBbt_00003865","FBbt:00003865")</f>
        <v/>
      </c>
      <c r="B478" t="inlineStr">
        <is>
          <t>lobula tangential neuron Lt6</t>
        </is>
      </c>
      <c r="C478" t="inlineStr">
        <is>
          <t>lobular tangential neuron Lt6; Lt6</t>
        </is>
      </c>
      <c r="D478" t="inlineStr">
        <is>
          <t>A lobula tangential neuron with a thick projection that branches extensively immediately after entering the proximal side of the lobula. Each branch extends across the lobula, with some bifurcating, before all form terminal arbors that collectively cover the length of lobula layers 2 to 6. Terminals are of mixed morphology. It is a GABAergic neuron.</t>
        </is>
      </c>
      <c r="E478" t="inlineStr">
        <is>
          <t>Fischbach and Dittrich, 1989, Cell Tissue Res. 258(3): 441--475 (flybase.org/reports/FBrf0049410); Raghu et al., 2013, J. Comp. Neurol. 521(1): 252--265 (flybase.org/reports/FBrf0220286)</t>
        </is>
      </c>
      <c r="F478" t="inlineStr"/>
      <c r="G478" t="inlineStr"/>
      <c r="H478" t="inlineStr"/>
    </row>
    <row r="479">
      <c r="A479">
        <f>HYPERLINK("https://www.ebi.ac.uk/ols/ontologies/fbbt/terms?iri=http://purl.obolibrary.org/obo/FBbt_00111295","FBbt:00111295")</f>
        <v/>
      </c>
      <c r="B479" t="inlineStr">
        <is>
          <t>ventrolateral protocerebrum projection neuron 1</t>
        </is>
      </c>
      <c r="C479" t="inlineStr">
        <is>
          <t>vPN1</t>
        </is>
      </c>
      <c r="D479" t="inlineStr">
        <is>
          <t>Projection neuron whose cell body is located in the cell body rind of lateral neuropils. It arborizes in the wedge and projects dorsally to the region surrounding the mushroom body peduncle (superior intermediate protocerebrum and clamp). This neuron is not found in females. It responds to both pulse and sine song at 80dB.</t>
        </is>
      </c>
      <c r="E479" t="inlineStr">
        <is>
          <t>Zhou et al., 2015, eLife 4: e08477 (flybase.org/reports/FBrf0229653)</t>
        </is>
      </c>
      <c r="F479" t="inlineStr"/>
      <c r="G479" t="inlineStr"/>
      <c r="H479" t="inlineStr"/>
    </row>
    <row r="480">
      <c r="A480">
        <f>HYPERLINK("https://www.ebi.ac.uk/ols/ontologies/fbbt/terms?iri=http://purl.obolibrary.org/obo/FBbt_00048335","FBbt:00048335")</f>
        <v/>
      </c>
      <c r="B480" t="inlineStr">
        <is>
          <t>adult visual projection neuron to the mushroom body</t>
        </is>
      </c>
      <c r="C480" t="inlineStr">
        <is>
          <t>OLCT neuron; optic lobe-calycal tract neuron; VPN-MB</t>
        </is>
      </c>
      <c r="D480" t="inlineStr">
        <is>
          <t>Any adult visual projection neuron that has presynaptic terminals in the mushroom body (Vogt et al., 2016). These fasciculate with an optic lobe-calycal tract (Yagi et al., 2016).</t>
        </is>
      </c>
      <c r="E480" t="inlineStr">
        <is>
          <t>Vogt et al., 2016, eLife 5: e14009 (flybase.org/reports/FBrf0232492)</t>
        </is>
      </c>
      <c r="F480" t="inlineStr"/>
      <c r="G480" t="inlineStr"/>
      <c r="H480" t="inlineStr"/>
    </row>
    <row r="481">
      <c r="A481">
        <f>HYPERLINK("https://www.ebi.ac.uk/ols/ontologies/fbbt/terms?iri=http://purl.obolibrary.org/obo/FBbt_00100248","FBbt:00100248")</f>
        <v/>
      </c>
      <c r="B481" t="inlineStr">
        <is>
          <t>alpha/beta Kenyon cell</t>
        </is>
      </c>
      <c r="C481" t="inlineStr">
        <is>
          <t>alpha/beta KC; alpha/beta neuron; mushroom body alpha/beta neuron</t>
        </is>
      </c>
      <c r="D481" t="inlineStr">
        <is>
          <t>Mushroom body neuron that bifurcates at the anterior end of the pedunculus and projects into the alpha and beta lobes of the mushroom body. The alpha/beta neurons are the last born of the Kenyon cells, born during the pupal stage. In the pedunculus, the alpha/beta neurons occupy the core stratum with the gamma axons at the periphery and the alpha'/beta' neurons in the intermediate stratum (Awasaki et al., 2006). It also arborizes in the calyx, forming pre- and post-synaptic terminals (Christiansen et al., 2011). It is a cholinergic neuron (Pankova &amp; Borst, 2017; Barnstedt et al., 2016).</t>
        </is>
      </c>
      <c r="E481" t="inlineStr">
        <is>
          <t>Tanaka et al., 2008, J. Comp. Neurol. 508(5): 711--755 (flybase.org/reports/FBrf0205263); Christiansen et al., 2011, J. Neurosci. 31(26): 9696--9707 (flybase.org/reports/FBrf0214059); Barnstedt et al., 2016, Neuron 89(6): 1237--1247 (flybase.org/reports/FBrf0231313); Pankova and Borst, 2017, J. Exp. Biol. 220(8): 1405--1410 (flybase.org/reports/FBrf0235353)</t>
        </is>
      </c>
      <c r="F481" t="inlineStr"/>
      <c r="G481" t="inlineStr"/>
      <c r="H481" t="inlineStr"/>
    </row>
    <row r="482">
      <c r="A482">
        <f>HYPERLINK("https://www.ebi.ac.uk/ols/ontologies/fbbt/terms?iri=http://purl.obolibrary.org/obo/FBbt_00110615","FBbt:00110615")</f>
        <v/>
      </c>
      <c r="B482" t="inlineStr">
        <is>
          <t>adult fruitless pMP-a (male) neuron</t>
        </is>
      </c>
      <c r="C482" t="inlineStr">
        <is>
          <t>fru-SP2 neuron; pMP-a neuron</t>
        </is>
      </c>
      <c r="D482" t="inlineStr">
        <is>
          <t>Any neuron (FBbt:00005106) that is part of some adult fruitless pMP-a (male) lineage clone (FBbt:00110614) and that develops from some neuroblast DM1 (FBbt:00050018) and that is part of some male organism (FBbt:00007004).</t>
        </is>
      </c>
      <c r="E482" t="inlineStr">
        <is>
          <t>Lee et al., 2000, J. Neurobiol. 43(4): 404--426 (flybase.org/reports/FBrf0128543); Cachero et al., 2010, Curr. Biol. 20(18): 1589--1601 (flybase.org/reports/FBrf0211926); Yu et al., 2013, Curr. Biol. 23(8): 633--643 (flybase.org/reports/FBrf0221412); Ito et al., 2013, Curr. Biol. 23(8): 644--655 (flybase.org/reports/FBrf0221438)</t>
        </is>
      </c>
      <c r="F482" t="inlineStr"/>
      <c r="G482" t="inlineStr"/>
      <c r="H482" t="inlineStr"/>
    </row>
    <row r="483">
      <c r="A483">
        <f>HYPERLINK("https://www.ebi.ac.uk/ols/ontologies/fbbt/terms?iri=http://purl.obolibrary.org/obo/FBbt_00047224","FBbt:00047224")</f>
        <v/>
      </c>
      <c r="B483" t="inlineStr">
        <is>
          <t>adult antennal lobe projection neuron VP5</t>
        </is>
      </c>
      <c r="C483" t="inlineStr">
        <is>
          <t>PN VP5; hygrosensory projection neuron; hygrosensory PN; hPN</t>
        </is>
      </c>
      <c r="D483" t="inlineStr">
        <is>
          <t>Neuron that is synapsed by adult olfactory receptor neuron Ir68a in the antennal lobe glomerulus VP5 and relays information regarding increased humidity to higher brain centers.</t>
        </is>
      </c>
      <c r="E483" t="inlineStr">
        <is>
          <t>Frank et al., 2017, Curr. Biol. 27(15): 2381--2388.e4 (flybase.org/reports/FBrf0236232)</t>
        </is>
      </c>
      <c r="F483" t="inlineStr"/>
      <c r="G483" t="inlineStr"/>
      <c r="H483" t="inlineStr"/>
    </row>
    <row r="484">
      <c r="A484">
        <f>HYPERLINK("https://www.ebi.ac.uk/ols/ontologies/fbbt/terms?iri=http://purl.obolibrary.org/obo/FBbt_00110605","FBbt:00110605")</f>
        <v/>
      </c>
      <c r="B484" t="inlineStr">
        <is>
          <t>adult fruitless aSP-i (male) neuron</t>
        </is>
      </c>
      <c r="C484" t="inlineStr">
        <is>
          <t>aSP11 neuron; aSP-i neuron; AL5a neuron</t>
        </is>
      </c>
      <c r="D484" t="inlineStr">
        <is>
          <t>Any neuron (FBbt:00005106) that is part of some adult fruitless aSP-i (male) lineage clone (FBbt:00110604) and that develops from some neuroblast AOTUv3 (FBbt:00050127) and that is part of some male organism (FBbt:00007004).</t>
        </is>
      </c>
      <c r="E484" t="inlineStr">
        <is>
          <t>Kimura et al., 2008, Neuron 59(5): 759--769 (flybase.org/reports/FBrf0205974); Yu et al., 2010, Curr. Biol. 20(18): 1602--1614 (flybase.org/reports/FBrf0211884); Cachero et al., 2010, Curr. Biol. 20(18): 1589--1601 (flybase.org/reports/FBrf0211926); Yu et al., 2013, Curr. Biol. 23(8): 633--643 (flybase.org/reports/FBrf0221412); Ito et al., 2013, Curr. Biol. 23(8): 644--655 (flybase.org/reports/FBrf0221438)</t>
        </is>
      </c>
      <c r="F484" t="inlineStr"/>
      <c r="G484" t="inlineStr"/>
      <c r="H484" t="inlineStr"/>
    </row>
    <row r="485">
      <c r="A485">
        <f>HYPERLINK("https://www.ebi.ac.uk/ols/ontologies/fbbt/terms?iri=http://purl.obolibrary.org/obo/FBbt_00048099","FBbt:00048099")</f>
        <v/>
      </c>
      <c r="B485" t="inlineStr">
        <is>
          <t>adult bilateral antennal lobe projection neuron VP2-VP2/VP3 mALT</t>
        </is>
      </c>
      <c r="C485" t="inlineStr">
        <is>
          <t>None</t>
        </is>
      </c>
      <c r="D485" t="inlineStr">
        <is>
          <t>Antennal lobe projection neuron whose dendrites innervate the antennal lobe glomeruli VP2 and VP3 ipsilaterally and additionally passes through the antennal lobe commissure to arborize in the contralateral VP2 glomerulus. It fasciculates with the medial antennal lobe tract (Stocker et al., 1990).</t>
        </is>
      </c>
      <c r="E485" t="inlineStr">
        <is>
          <t>Stocker et al., 1990, Cell Tissue Res. 262(1): 9--34 (flybase.org/reports/FBrf0051437)</t>
        </is>
      </c>
      <c r="F485" t="inlineStr"/>
      <c r="G485" t="inlineStr"/>
      <c r="H485" t="inlineStr"/>
    </row>
    <row r="486">
      <c r="A486">
        <f>HYPERLINK("https://www.ebi.ac.uk/ols/ontologies/fbbt/terms?iri=http://purl.obolibrary.org/obo/FBbt_00048098","FBbt:00048098")</f>
        <v/>
      </c>
      <c r="B486" t="inlineStr">
        <is>
          <t>adult antennal lobe projection neuron DM1/VP2/VP3</t>
        </is>
      </c>
      <c r="C486" t="inlineStr">
        <is>
          <t>None</t>
        </is>
      </c>
      <c r="D486" t="inlineStr">
        <is>
          <t>Antennal lobe projection neuron whose dendrites innervate the antennal lobe glomeruli DM1, VP2 and VP3 only and projects to the mushroom body calyx (Stocker et al., 1990).</t>
        </is>
      </c>
      <c r="E486" t="inlineStr">
        <is>
          <t>Stocker et al., 1990, Cell Tissue Res. 262(1): 9--34 (flybase.org/reports/FBrf0051437)</t>
        </is>
      </c>
      <c r="F486" t="inlineStr"/>
      <c r="G486" t="inlineStr"/>
      <c r="H486" t="inlineStr"/>
    </row>
    <row r="487">
      <c r="A487">
        <f>HYPERLINK("https://www.ebi.ac.uk/ols/ontologies/fbbt/terms?iri=http://purl.obolibrary.org/obo/FBbt_00003639","FBbt:00003639")</f>
        <v/>
      </c>
      <c r="B487" t="inlineStr">
        <is>
          <t>fb-no neuron</t>
        </is>
      </c>
      <c r="C487" t="inlineStr">
        <is>
          <t>CX-SFN (fb-no)</t>
        </is>
      </c>
      <c r="D487" t="inlineStr">
        <is>
          <t>Small field neuron of the central complex that has small arborizations with club-like fiber endings in the fan-shaped body and terminates with spines and blebs in the contralateral nodulus.</t>
        </is>
      </c>
      <c r="E487" t="inlineStr">
        <is>
          <t>Hanesch et al., 1989, Cell Tissue Res. 257(2): 343--366 (flybase.org/reports/FBrf0049409)</t>
        </is>
      </c>
      <c r="F487" t="inlineStr"/>
      <c r="G487" t="inlineStr"/>
      <c r="H487" t="inlineStr"/>
    </row>
    <row r="488">
      <c r="A488">
        <f>HYPERLINK("https://www.ebi.ac.uk/ols/ontologies/fbbt/terms?iri=http://purl.obolibrary.org/obo/FBbt_00005722","FBbt:00005722")</f>
        <v/>
      </c>
      <c r="B488" t="inlineStr">
        <is>
          <t>adult marginal glial cell</t>
        </is>
      </c>
      <c r="C488" t="inlineStr">
        <is>
          <t>marginal glial cell; adult marginal glial cell; proximal glial cell</t>
        </is>
      </c>
      <c r="D488" t="inlineStr">
        <is>
          <t>Cuboidal glial cell of the optic lobe elaborating numerous fine processes, with irregular distal and lateral edges and a flat basal surface. It is located in a layer at the proximal surface of the lamina, with one marginal glial cell per cartridge (Edwards and Meinertzhagen, 2010). Processes extend from the apical side into the lamina to envelop axons and trachea. It is between the marginal glial cells and epithelial glial cells that the R1-R6 growth cones terminate (Poeck et al., 2001; Winberg et al., 1992). In the lamina, it receives synaptic input from photoreceptors R1, R5-R6 and lamina monopolar cell L4 (collaterals from adjacent columns) (Rivera-Alba et al., 2011).</t>
        </is>
      </c>
      <c r="E488" t="inlineStr">
        <is>
          <t>Winberg et al., 1992, Development 115(4): 903--911 (flybase.org/reports/FBrf0055906); Poeck et al., 2001, Neuron 29(1): 99--113 (flybase.org/reports/FBrf0134808); Takemura et al., 2008, J. Comp. Neurol. 509(5): 493--513 (flybase.org/reports/FBrf0205531); Edwards et al., 2012, J. Comp. Neurol. 520(10): 2067--2085 (flybase.org/reports/FBrf0218414)</t>
        </is>
      </c>
      <c r="F488" t="inlineStr"/>
      <c r="G488" t="inlineStr"/>
      <c r="H488" t="inlineStr"/>
    </row>
    <row r="489">
      <c r="A489">
        <f>HYPERLINK("https://www.ebi.ac.uk/ols/ontologies/fbbt/terms?iri=http://purl.obolibrary.org/obo/FBbt_00003763","FBbt:00003763")</f>
        <v/>
      </c>
      <c r="B489" t="inlineStr">
        <is>
          <t>l-LNv neuron</t>
        </is>
      </c>
      <c r="C489" t="inlineStr">
        <is>
          <t>lLNv; large LNv; l-LNv; large pigment-dispersing hormone-immunoreactive neuron close to medulla; l-vLN</t>
        </is>
      </c>
      <c r="D489" t="inlineStr">
        <is>
          <t>Neuron of the period-expressing LNv cluster of the adult brain, with a large cell body and generally located more dorsally than the s-LNv neurons (Helfrich-Forster, 1998). There are four of these cells present in each cluster, all of which express Pdf (FBgn0023178). These neurons send dendrites through the posterior optic commissure to the contralateral optic lobe, where a few short fibers terminate in the accessory medulla, but most arborize extensively in the medulla itself (Helfrich-Forster, 2005; Helfrich-Forster et al., 2007). These arborizations in the medulla are associated with varicosities. These cells also project to the ipsilateral (adjacent) accessory medulla and its ventral extension, where they arborize extensively.</t>
        </is>
      </c>
      <c r="E489" t="inlineStr">
        <is>
          <t>Helfrich-Forster, 1998, J. Comp. Physiol. A, Sens. Neural. Behav. Physiol. 182(4): 435--453 (flybase.org/reports/FBrf0101921); Yang and Sehgal, 2001, Neuron 29(2): 453--467 (flybase.org/reports/FBrf0134807); Shafer et al., 2002, J. Neurosci. 22(14): 5946--5954 (flybase.org/reports/FBrf0151380); Helfrich-Forster, 2005, Genes Brain Behav. 4(2): 65--76 (flybase.org/reports/FBrf0183981); Helfrich-Forster et al., 2007, J. Comp. Neurol. 500(1): 47--70 (flybase.org/reports/FBrf0193849)</t>
        </is>
      </c>
      <c r="F489" t="inlineStr"/>
      <c r="G489" t="inlineStr"/>
      <c r="H489" t="inlineStr"/>
    </row>
    <row r="490">
      <c r="A490">
        <f>HYPERLINK("https://www.ebi.ac.uk/ols/ontologies/fbbt/terms?iri=http://purl.obolibrary.org/obo/FBbt_00110511","FBbt:00110511")</f>
        <v/>
      </c>
      <c r="B490" t="inlineStr">
        <is>
          <t>adult fruitless pMP-g neuron</t>
        </is>
      </c>
      <c r="C490" t="inlineStr">
        <is>
          <t>pMP-g clone</t>
        </is>
      </c>
      <c r="D490" t="inlineStr">
        <is>
          <t>Any neuron (FBbt:00005106) that is part of some adult fruitless pMP-g lineage clone (FBbt:00110510).</t>
        </is>
      </c>
      <c r="E490" t="inlineStr">
        <is>
          <t>Cachero et al., 2010, Curr. Biol. 20(18): 1589--1601 (flybase.org/reports/FBrf0211926)</t>
        </is>
      </c>
      <c r="F490" t="inlineStr"/>
      <c r="G490" t="inlineStr"/>
      <c r="H490" t="inlineStr"/>
    </row>
    <row r="491">
      <c r="A491">
        <f>HYPERLINK("https://www.ebi.ac.uk/ols/ontologies/fbbt/terms?iri=http://purl.obolibrary.org/obo/FBbt_00003630","FBbt:00003630")</f>
        <v/>
      </c>
      <c r="B491" t="inlineStr">
        <is>
          <t>DN2 neuron</t>
        </is>
      </c>
      <c r="C491" t="inlineStr">
        <is>
          <t>adult dorsal neuron 2; DN2; adult dorsal neuron-2</t>
        </is>
      </c>
      <c r="D491" t="inlineStr">
        <is>
          <t>DN (dorsal Period-expressing neuron of adult brain) whose medium-sized cell body is located posteriorly in the dorsal superior brain, ventral to the projections of the `s-LNv Pdf neurons` (FBbt:00003764). There are 2 cells in each DN2 cluster.</t>
        </is>
      </c>
      <c r="E491" t="inlineStr">
        <is>
          <t>Helfrich-Forster, 2005, Genes Brain Behav. 4(2): 65--76 (flybase.org/reports/FBrf0183981)</t>
        </is>
      </c>
      <c r="F491" t="inlineStr"/>
      <c r="G491" t="inlineStr"/>
      <c r="H491" t="inlineStr"/>
    </row>
    <row r="492">
      <c r="A492">
        <f>HYPERLINK("https://www.ebi.ac.uk/ols/ontologies/fbbt/terms?iri=http://purl.obolibrary.org/obo/FBbt_00110086","FBbt:00110086")</f>
        <v/>
      </c>
      <c r="B492" t="inlineStr">
        <is>
          <t>lobula columnar neuron ChaLcnnew1</t>
        </is>
      </c>
      <c r="C492" t="inlineStr">
        <is>
          <t>Lcnnew1; ChaLcnnew1</t>
        </is>
      </c>
      <c r="D492" t="inlineStr">
        <is>
          <t>An extrinsic columnar neuron that arborizes in lobula layers 3, 4, 5 and 6 and extends its processes to the central brain. It is a cholinergic neuron (Varija Raghu et al., 2011).</t>
        </is>
      </c>
      <c r="E492" t="inlineStr">
        <is>
          <t>Fischbach and Dittrich, 1989, Cell Tissue Res. 258(3): 441--475 (flybase.org/reports/FBrf0049410); Varija Raghu et al., 2011, J. Comp. Neurol. 519(1): 162--176 (flybase.org/reports/FBrf0212356)</t>
        </is>
      </c>
      <c r="F492" t="inlineStr"/>
      <c r="G492" t="inlineStr"/>
      <c r="H492" t="inlineStr"/>
    </row>
    <row r="493">
      <c r="A493">
        <f>HYPERLINK("https://www.ebi.ac.uk/ols/ontologies/fbbt/terms?iri=http://purl.obolibrary.org/obo/FBbt_00003764","FBbt:00003764")</f>
        <v/>
      </c>
      <c r="B493" t="inlineStr">
        <is>
          <t>s-LNv Pdf neuron</t>
        </is>
      </c>
      <c r="C493" t="inlineStr">
        <is>
          <t>small pigment-dispersing hormone-immunoreactive neuron close to medulla; sLNv PDF; small Pdf neuron</t>
        </is>
      </c>
      <c r="D493" t="inlineStr">
        <is>
          <t>s-LNv neuron of the adult brain that expresses Pdf (FBgn0023178). There are four of these in each ventral cluster of LNs. Short, fine fibers lacking presynaptic sites contact the accessory medulla, whilst longer processes project toward the dorsal protocerebrum and terminate dorsofrontal to the mushroom body calyx close to the pars lateralis and close to the DN2 neurons (Helfrich-Forster et al., 2007) where they form both pre- and postsynaptic connections (Yasuyama and Meinertzhagen, 2010). Pdf rich dense-synaptic vesicles accumulate in terminal varicosities in these cells, but are not associated with presynaptic sites (Miskiewicz et al., 2004; Yasuyama and Meinertzhagen, 2010). They can be observed docked at the plasma membrane, suggesting paracrine release of Pdf.</t>
        </is>
      </c>
      <c r="E493" t="inlineStr">
        <is>
          <t>Miskiewicz et al., 2004, Neurosci. Lett. 363(1): 73--77 (flybase.org/reports/FBrf0179342); Rieger et al., 2006, J. Neurosci. 26(9): 2531--2543 (flybase.org/reports/FBrf0191052); Helfrich-Forster et al., 2007, J. Comp. Neurol. 500(1): 47--70 (flybase.org/reports/FBrf0193849); Yasuyama and Meinertzhagen, 2010, J. Comp. Neurol. 518(3): 292--304 (flybase.org/reports/FBrf0209462); Hermann-Luibl et al., 2014, J. Neurosci. 34(29): 9522--9536 (flybase.org/reports/FBrf0225654)</t>
        </is>
      </c>
      <c r="F493" t="inlineStr"/>
      <c r="G493" t="inlineStr"/>
      <c r="H493" t="inlineStr"/>
    </row>
    <row r="494">
      <c r="A494">
        <f>HYPERLINK("https://www.ebi.ac.uk/ols/ontologies/fbbt/terms?iri=http://purl.obolibrary.org/obo/FBbt_00003631","FBbt:00003631")</f>
        <v/>
      </c>
      <c r="B494" t="inlineStr">
        <is>
          <t>DN3 neuron</t>
        </is>
      </c>
      <c r="C494" t="inlineStr">
        <is>
          <t>adult dorsal neuron-3; DN3</t>
        </is>
      </c>
      <c r="D494" t="inlineStr">
        <is>
          <t>DN (dorsal Period-expressing neuron of adult brain) with a cell body located in the lateral-most cluster of Period expressing DN neurons. There are around 40 cells in each cluster.</t>
        </is>
      </c>
      <c r="E494" t="inlineStr">
        <is>
          <t>Helfrich-Forster et al., 2007, J. Comp. Neurol. 500(1): 47--70 (flybase.org/reports/FBrf0193849)</t>
        </is>
      </c>
      <c r="F494" t="inlineStr"/>
      <c r="G494" t="inlineStr"/>
      <c r="H494" t="inlineStr"/>
    </row>
    <row r="495">
      <c r="A495">
        <f>HYPERLINK("https://www.ebi.ac.uk/ols/ontologies/fbbt/terms?iri=http://purl.obolibrary.org/obo/FBbt_00003638","FBbt:00003638")</f>
        <v/>
      </c>
      <c r="B495" t="inlineStr">
        <is>
          <t>eb-no neuron</t>
        </is>
      </c>
      <c r="C495" t="inlineStr">
        <is>
          <t>CX-SFN (no-eb)</t>
        </is>
      </c>
      <c r="D495" t="inlineStr">
        <is>
          <t>Small field neuron of the central complex that innervates only the ellipsoid body and the nodulus.</t>
        </is>
      </c>
      <c r="E495" t="inlineStr">
        <is>
          <t>Hanesch et al., 1989, Cell Tissue Res. 257(2): 343--366 (flybase.org/reports/FBrf0049409)</t>
        </is>
      </c>
      <c r="F495" t="inlineStr"/>
      <c r="G495" t="inlineStr"/>
      <c r="H495" t="inlineStr"/>
    </row>
    <row r="496">
      <c r="A496">
        <f>HYPERLINK("https://www.ebi.ac.uk/ols/ontologies/fbbt/terms?iri=http://purl.obolibrary.org/obo/FBbt_00110427","FBbt:00110427")</f>
        <v/>
      </c>
      <c r="B496" t="inlineStr">
        <is>
          <t>adult fruitless aDT-g neuron</t>
        </is>
      </c>
      <c r="C496" t="inlineStr">
        <is>
          <t>aDT-g neuron; aDT5 neuron; AMMC projection neuron 5; aPN5 neuron</t>
        </is>
      </c>
      <c r="D496" t="inlineStr">
        <is>
          <t>Projection neuron that innervates the ipsilateral antennal mechanosensory and motor center (AMMC) zone A and projects to the posterior lateral protocerebrum. It expresses fruitless.</t>
        </is>
      </c>
      <c r="E496" t="inlineStr">
        <is>
          <t>Lee et al., 2000, J. Neurobiol. 43(4): 404--426 (flybase.org/reports/FBrf0128543); Yu et al., 2010, Curr. Biol. 20(18): 1602--1614 (flybase.org/reports/FBrf0211884); Cachero et al., 2010, Curr. Biol. 20(18): 1589--1601 (flybase.org/reports/FBrf0211926); Yu et al., 2013, Curr. Biol. 23(8): 633--643 (flybase.org/reports/FBrf0221412); Ito et al., 2013, Curr. Biol. 23(8): 644--655 (flybase.org/reports/FBrf0221438); Vaughan et al., 2014, Curr. Biol. 24(10): 1039--1049 (flybase.org/reports/FBrf0225096)</t>
        </is>
      </c>
      <c r="F496" t="inlineStr"/>
      <c r="G496" t="inlineStr"/>
      <c r="H496" t="inlineStr"/>
    </row>
    <row r="497">
      <c r="A497">
        <f>HYPERLINK("https://www.ebi.ac.uk/ols/ontologies/fbbt/terms?iri=http://purl.obolibrary.org/obo/FBbt_00110417","FBbt:00110417")</f>
        <v/>
      </c>
      <c r="B497" t="inlineStr">
        <is>
          <t>adult fruitless aDT-b (female) neuron</t>
        </is>
      </c>
      <c r="C497" t="inlineStr">
        <is>
          <t>mAL neuron; aDT-b neuron; fru-mAL neuron; aDT2 neuron</t>
        </is>
      </c>
      <c r="D497" t="inlineStr">
        <is>
          <t>Any neuron (FBbt:00005106) that is part of some adult fruitless aDT-b (female) lineage clone (FBbt:00110416) and that develops from some neuroblast CREa1 (female) (FBbt:00050148).</t>
        </is>
      </c>
      <c r="E497" t="inlineStr">
        <is>
          <t>Lee et al., 2000, J. Neurobiol. 43(4): 404--426 (flybase.org/reports/FBrf0128543); Kimura et al., 2008, Neuron 59(5): 759--769 (flybase.org/reports/FBrf0205974); Yu et al., 2010, Curr. Biol. 20(18): 1602--1614 (flybase.org/reports/FBrf0211884); Cachero et al., 2010, Curr. Biol. 20(18): 1589--1601 (flybase.org/reports/FBrf0211926); Yu et al., 2013, Curr. Biol. 23(8): 633--643 (flybase.org/reports/FBrf0221412); Ito et al., 2013, Curr. Biol. 23(8): 644--655 (flybase.org/reports/FBrf0221438)</t>
        </is>
      </c>
      <c r="F497" t="inlineStr"/>
      <c r="G497" t="inlineStr"/>
      <c r="H497" t="inlineStr"/>
    </row>
    <row r="498">
      <c r="A498">
        <f>HYPERLINK("https://www.ebi.ac.uk/ols/ontologies/fbbt/terms?iri=http://purl.obolibrary.org/obo/FBbt_00110513","FBbt:00110513")</f>
        <v/>
      </c>
      <c r="B498" t="inlineStr">
        <is>
          <t>adult fruitless pSG-a neuron</t>
        </is>
      </c>
      <c r="C498" t="inlineStr">
        <is>
          <t>pSG-a neuron; fru-SG neuron</t>
        </is>
      </c>
      <c r="D498" t="inlineStr">
        <is>
          <t>Any neuron (FBbt:00005106) that is part of some adult fruitless pSG-a lineage clone (FBbt:00110512).</t>
        </is>
      </c>
      <c r="E498" t="inlineStr">
        <is>
          <t>Lee et al., 2000, J. Neurobiol. 43(4): 404--426 (flybase.org/reports/FBrf0128543); Cachero et al., 2010, Curr. Biol. 20(18): 1589--1601 (flybase.org/reports/FBrf0211926)</t>
        </is>
      </c>
      <c r="F498" t="inlineStr"/>
      <c r="G498" t="inlineStr"/>
      <c r="H498" t="inlineStr"/>
    </row>
    <row r="499">
      <c r="A499">
        <f>HYPERLINK("https://www.ebi.ac.uk/ols/ontologies/fbbt/terms?iri=http://purl.obolibrary.org/obo/FBbt_00003635","FBbt:00003635")</f>
        <v/>
      </c>
      <c r="B499" t="inlineStr">
        <is>
          <t>horizontal fiber system neuron</t>
        </is>
      </c>
      <c r="C499" t="inlineStr">
        <is>
          <t>HFS; PFI neuron; heavy fibers; pb-fb-vbo neuron; horizontal fiber system</t>
        </is>
      </c>
      <c r="D499" t="inlineStr">
        <is>
          <t>Neuron whose cell body lies in the cortex just dorsal to the protocerebral bridge and with dendritic arbors in a single glomerulus of the protocerebral bridge and in a segment pair of the fan-shaped body, and axon terminals in the one or both of the lateral accessory lobes. Bundles of 3 or 4 horizontal fiber system neurons connect each glomerulus to a fan-shaped body segment and then run horizontally in layer 4 where they arborize in all 4 shells. Arborizations in the protocerebral bridge are spiny, terminals in the lateral accessory lobes are blebs, both types of terminals are formed in the fan-shaped body.</t>
        </is>
      </c>
      <c r="E499" t="inlineStr">
        <is>
          <t>Hanesch et al., 1989, Cell Tissue Res. 257(2): 343--366 (flybase.org/reports/FBrf0049409); Lin et al., 2013, Cell Rep. 3(5): 1739--1753 (flybase.org/reports/FBrf0221742)</t>
        </is>
      </c>
      <c r="F499" t="inlineStr"/>
      <c r="G499" t="inlineStr"/>
      <c r="H499" t="inlineStr"/>
    </row>
    <row r="500">
      <c r="A500">
        <f>HYPERLINK("https://www.ebi.ac.uk/ols/ontologies/fbbt/terms?iri=http://purl.obolibrary.org/obo/FBbt_00111180","FBbt:00111180")</f>
        <v/>
      </c>
      <c r="B500" t="inlineStr">
        <is>
          <t>adult fruitless aSG4 neuron</t>
        </is>
      </c>
      <c r="C500" t="inlineStr">
        <is>
          <t>fru-SG neuron; aSG4 neuron</t>
        </is>
      </c>
      <c r="D500" t="inlineStr">
        <is>
          <t>Any neuron (FBbt:00005106) that is part of some adult fruitless aSG4 lineage clone (FBbt:00111179).</t>
        </is>
      </c>
      <c r="E500" t="inlineStr">
        <is>
          <t>Yu et al., 2010, Curr. Biol. 20(18): 1602--1614 (flybase.org/reports/FBrf0211884)</t>
        </is>
      </c>
      <c r="F500" t="inlineStr"/>
      <c r="G500" t="inlineStr"/>
      <c r="H500" t="inlineStr"/>
    </row>
    <row r="501">
      <c r="A501">
        <f>HYPERLINK("https://www.ebi.ac.uk/ols/ontologies/fbbt/terms?iri=http://purl.obolibrary.org/obo/FBbt_00003636","FBbt:00003636")</f>
        <v/>
      </c>
      <c r="B501" t="inlineStr">
        <is>
          <t>pontine neuron</t>
        </is>
      </c>
      <c r="C501" t="inlineStr">
        <is>
          <t>pontine fiber; PFS; pontine fiber system</t>
        </is>
      </c>
      <c r="D501" t="inlineStr">
        <is>
          <t>Interneuron that is intrinsic (local) to a single neuropil domain of the central complex and that connects two substructures of it.</t>
        </is>
      </c>
      <c r="E501" t="inlineStr">
        <is>
          <t>Hanesch et al., 1989, Cell Tissue Res. 257(2): 343--366 (flybase.org/reports/FBrf0049409)</t>
        </is>
      </c>
      <c r="F501" t="inlineStr"/>
      <c r="G501" t="inlineStr"/>
      <c r="H501" t="inlineStr"/>
    </row>
    <row r="502">
      <c r="A502">
        <f>HYPERLINK("https://www.ebi.ac.uk/ols/ontologies/fbbt/terms?iri=http://purl.obolibrary.org/obo/FBbt_00110515","FBbt:00110515")</f>
        <v/>
      </c>
      <c r="B502" t="inlineStr">
        <is>
          <t>adult fruitless pSG-b neuron</t>
        </is>
      </c>
      <c r="C502" t="inlineStr">
        <is>
          <t>fru-SG neuron; pSG-b neuron</t>
        </is>
      </c>
      <c r="D502" t="inlineStr">
        <is>
          <t>Any neuron (FBbt:00005106) that is part of some adult fruitless pSG-b lineage clone (FBbt:00110514).</t>
        </is>
      </c>
      <c r="E502" t="inlineStr">
        <is>
          <t>Lee et al., 2000, J. Neurobiol. 43(4): 404--426 (flybase.org/reports/FBrf0128543); Cachero et al., 2010, Curr. Biol. 20(18): 1589--1601 (flybase.org/reports/FBrf0211926)</t>
        </is>
      </c>
      <c r="F502" t="inlineStr"/>
      <c r="G502" t="inlineStr"/>
      <c r="H502" t="inlineStr"/>
    </row>
    <row r="503">
      <c r="A503">
        <f>HYPERLINK("https://www.ebi.ac.uk/ols/ontologies/fbbt/terms?iri=http://purl.obolibrary.org/obo/FBbt_00111182","FBbt:00111182")</f>
        <v/>
      </c>
      <c r="B503" t="inlineStr">
        <is>
          <t>adult fruitless aSG6 neuron</t>
        </is>
      </c>
      <c r="C503" t="inlineStr">
        <is>
          <t>fru-SG neuron; aSG6 neuron</t>
        </is>
      </c>
      <c r="D503" t="inlineStr">
        <is>
          <t>Any neuron (FBbt:00005106) that is part of some adult fruitless aSG6 lineage clone (FBbt:00111181).</t>
        </is>
      </c>
      <c r="E503" t="inlineStr">
        <is>
          <t>Yu et al., 2010, Curr. Biol. 20(18): 1602--1614 (flybase.org/reports/FBrf0211884)</t>
        </is>
      </c>
      <c r="F503" t="inlineStr"/>
      <c r="G503" t="inlineStr"/>
      <c r="H503" t="inlineStr"/>
    </row>
    <row r="504">
      <c r="A504">
        <f>HYPERLINK("https://www.ebi.ac.uk/ols/ontologies/fbbt/terms?iri=http://purl.obolibrary.org/obo/FBbt_00003634","FBbt:00003634")</f>
        <v/>
      </c>
      <c r="B504" t="inlineStr">
        <is>
          <t>vertical fiber system neuron</t>
        </is>
      </c>
      <c r="C504" t="inlineStr">
        <is>
          <t>PFN neuron; PFNL neuron; vertical fiber system; PFNR neuron; VFS; VFS; pb-fb-no neuron</t>
        </is>
      </c>
      <c r="D504" t="inlineStr">
        <is>
          <t>Small field neuron of the central complex with dendritic arbors in a single glomerulus of the protocerebral bridge and axon terminals in one layer of the fan-shaped body and the contralateral nodulus. Fibers of two adjacent glomeruli join into bundles that run ipsilaterally to the fan-shaped body and enter it in the fourth layer without crossing each other.</t>
        </is>
      </c>
      <c r="E504" t="inlineStr">
        <is>
          <t>Hanesch et al., 1989, Cell Tissue Res. 257(2): 343--366 (flybase.org/reports/FBrf0049409); Lin et al., 2013, Cell Rep. 3(5): 1739--1753 (flybase.org/reports/FBrf0221742)</t>
        </is>
      </c>
      <c r="F504" t="inlineStr"/>
      <c r="G504" t="inlineStr"/>
      <c r="H504" t="inlineStr"/>
    </row>
    <row r="505">
      <c r="A505">
        <f>HYPERLINK("https://www.ebi.ac.uk/ols/ontologies/fbbt/terms?iri=http://purl.obolibrary.org/obo/FBbt_00048259","FBbt:00048259")</f>
        <v/>
      </c>
      <c r="B505" t="inlineStr">
        <is>
          <t>VES neuron of the dopaminergic PPL2c cluster</t>
        </is>
      </c>
      <c r="C505" t="inlineStr">
        <is>
          <t>None</t>
        </is>
      </c>
      <c r="D505" t="inlineStr">
        <is>
          <t>Adult dopaminergic neuron with a cell body in the PPL2c cluster. It has a major arborization site in the vest and is distinct from the VES-LO neuron.</t>
        </is>
      </c>
      <c r="E505" t="inlineStr">
        <is>
          <t>Xie et al., 2018, Cell Rep. 23(2): 652--665 (flybase.org/reports/FBrf0238545)</t>
        </is>
      </c>
      <c r="F505" t="inlineStr"/>
      <c r="G505" t="inlineStr"/>
      <c r="H505" t="inlineStr"/>
    </row>
    <row r="506">
      <c r="A506">
        <f>HYPERLINK("https://www.ebi.ac.uk/ols/ontologies/fbbt/terms?iri=http://purl.obolibrary.org/obo/FBbt_00048258","FBbt:00048258")</f>
        <v/>
      </c>
      <c r="B506" t="inlineStr">
        <is>
          <t>VES-LO neuron of the dopaminergic PPL2c cluster</t>
        </is>
      </c>
      <c r="C506" t="inlineStr">
        <is>
          <t>None</t>
        </is>
      </c>
      <c r="D506" t="inlineStr">
        <is>
          <t>Adult dopaminergic neuron with a cell body in the PPL2c cluster. It has major arborization sites in the vest and the lobula.</t>
        </is>
      </c>
      <c r="E506" t="inlineStr">
        <is>
          <t>Xie et al., 2018, Cell Rep. 23(2): 652--665 (flybase.org/reports/FBrf0238545)</t>
        </is>
      </c>
      <c r="F506" t="inlineStr"/>
      <c r="G506" t="inlineStr"/>
      <c r="H506" t="inlineStr"/>
    </row>
    <row r="507">
      <c r="A507">
        <f>HYPERLINK("https://www.ebi.ac.uk/ols/ontologies/fbbt/terms?iri=http://purl.obolibrary.org/obo/FBbt_00110599","FBbt:00110599")</f>
        <v/>
      </c>
      <c r="B507" t="inlineStr">
        <is>
          <t>adult fruitless aSP-f (male) neuron</t>
        </is>
      </c>
      <c r="C507" t="inlineStr">
        <is>
          <t>aSP5 neuron; DC1 neuron; aSP-f neuron</t>
        </is>
      </c>
      <c r="D507" t="inlineStr">
        <is>
          <t>Any neuron (FBbt:00005106) that is part of some adult fruitless aSP-f (male) lineage clone (FBbt:00110598) and that is part of some male organism (FBbt:00007004).</t>
        </is>
      </c>
      <c r="E507" t="inlineStr">
        <is>
          <t>Cachero et al., 2010, Curr. Biol. 20(18): 1589--1601 (flybase.org/reports/FBrf0211926)</t>
        </is>
      </c>
      <c r="F507" t="inlineStr"/>
      <c r="G507" t="inlineStr"/>
      <c r="H507" t="inlineStr"/>
    </row>
    <row r="508">
      <c r="A508">
        <f>HYPERLINK("https://www.ebi.ac.uk/ols/ontologies/fbbt/terms?iri=http://purl.obolibrary.org/obo/FBbt_00110423","FBbt:00110423")</f>
        <v/>
      </c>
      <c r="B508" t="inlineStr">
        <is>
          <t>adult fruitless aDT-e (female) neuron</t>
        </is>
      </c>
      <c r="C508" t="inlineStr">
        <is>
          <t>AL3 neuron; aDT3 neuron; fru-AL neuron; aDT-e neuron</t>
        </is>
      </c>
      <c r="D508" t="inlineStr">
        <is>
          <t>Any neuron (FBbt:00005106) that is part of some adult fruitless aDT-e (female) lineage clone (FBbt:00110422) and that develops from some neuroblast ALl1 (FBbt:00067347) and that is part of some female organism (FBbt:00007011).</t>
        </is>
      </c>
      <c r="E508" t="inlineStr">
        <is>
          <t>Lee et al., 2000, J. Neurobiol. 43(4): 404--426 (flybase.org/reports/FBrf0128543); Kimura et al., 2008, Neuron 59(5): 759--769 (flybase.org/reports/FBrf0205974); Cachero et al., 2010, Curr. Biol. 20(18): 1589--1601 (flybase.org/reports/FBrf0211926); Yu et al., 2013, Curr. Biol. 23(8): 633--643 (flybase.org/reports/FBrf0221412); Ito et al., 2013, Curr. Biol. 23(8): 644--655 (flybase.org/reports/FBrf0221438)</t>
        </is>
      </c>
      <c r="F508" t="inlineStr"/>
      <c r="G508" t="inlineStr"/>
      <c r="H508" t="inlineStr"/>
    </row>
    <row r="509">
      <c r="A509">
        <f>HYPERLINK("https://www.ebi.ac.uk/ols/ontologies/fbbt/terms?iri=http://purl.obolibrary.org/obo/FBbt_00048257","FBbt:00048257")</f>
        <v/>
      </c>
      <c r="B509" t="inlineStr">
        <is>
          <t>ALT-PLPC neuron of the dopaminergic PPL2ab cluster</t>
        </is>
      </c>
      <c r="C509" t="inlineStr">
        <is>
          <t>None</t>
        </is>
      </c>
      <c r="D509" t="inlineStr">
        <is>
          <t>Adult dopaminergic neuron with a cell body in the PPL2ab cluster. It passes close to the antennal lobe tract and the posterior posteriolateral protocerebral commissure.</t>
        </is>
      </c>
      <c r="E509" t="inlineStr">
        <is>
          <t>Xie et al., 2018, Cell Rep. 23(2): 652--665 (flybase.org/reports/FBrf0238545)</t>
        </is>
      </c>
      <c r="F509" t="inlineStr"/>
      <c r="G509" t="inlineStr"/>
      <c r="H509" t="inlineStr"/>
    </row>
    <row r="510">
      <c r="A510">
        <f>HYPERLINK("https://www.ebi.ac.uk/ols/ontologies/fbbt/terms?iri=http://purl.obolibrary.org/obo/FBbt_00110082","FBbt:00110082")</f>
        <v/>
      </c>
      <c r="B510" t="inlineStr">
        <is>
          <t>medullary tangential neuron ChaMtnew1</t>
        </is>
      </c>
      <c r="C510" t="inlineStr">
        <is>
          <t>ChaMtnew1; Mtnew1</t>
        </is>
      </c>
      <c r="D510" t="inlineStr">
        <is>
          <t>Medullary tangential neuron with extensive branching that covers the proximal medulla. It arborizes in layers M3 to M9. Its cell body lies outside the medulla rind, close to the serpentine layer. It is a cholinergic neuron (Varija Raghu et al., 2011).</t>
        </is>
      </c>
      <c r="E510" t="inlineStr">
        <is>
          <t>Varija Raghu et al., 2011, J. Comp. Neurol. 519(1): 162--176 (flybase.org/reports/FBrf0212356)</t>
        </is>
      </c>
      <c r="F510" t="inlineStr"/>
      <c r="G510" t="inlineStr"/>
      <c r="H510" t="inlineStr"/>
    </row>
    <row r="511">
      <c r="A511">
        <f>HYPERLINK("https://www.ebi.ac.uk/ols/ontologies/fbbt/terms?iri=http://purl.obolibrary.org/obo/FBbt_00048265","FBbt:00048265")</f>
        <v/>
      </c>
      <c r="B511" t="inlineStr">
        <is>
          <t>LAL neuron of the dopaminergic PPM2 cluster</t>
        </is>
      </c>
      <c r="C511" t="inlineStr">
        <is>
          <t>None</t>
        </is>
      </c>
      <c r="D511" t="inlineStr">
        <is>
          <t>Adult dopaminergic neuron with a cell body in the PPM2 cluster. It has a major arborization site in the lateral accessory lobe and is distinct from the LAL-SEG neuron.</t>
        </is>
      </c>
      <c r="E511" t="inlineStr">
        <is>
          <t>Xie et al., 2018, Cell Rep. 23(2): 652--665 (flybase.org/reports/FBrf0238545)</t>
        </is>
      </c>
      <c r="F511" t="inlineStr"/>
      <c r="G511" t="inlineStr"/>
      <c r="H511" t="inlineStr"/>
    </row>
    <row r="512">
      <c r="A512">
        <f>HYPERLINK("https://www.ebi.ac.uk/ols/ontologies/fbbt/terms?iri=http://purl.obolibrary.org/obo/FBbt_00048264","FBbt:00048264")</f>
        <v/>
      </c>
      <c r="B512" t="inlineStr">
        <is>
          <t>LAL-SEG neuron of the dopaminergic PPM2 cluster</t>
        </is>
      </c>
      <c r="C512" t="inlineStr">
        <is>
          <t>None</t>
        </is>
      </c>
      <c r="D512" t="inlineStr">
        <is>
          <t>Adult dopaminergic neuron with a cell body in the PPM2 cluster. It has major arborization sites in the lateral accessory lobe and the subesophageal zone.</t>
        </is>
      </c>
      <c r="E512" t="inlineStr">
        <is>
          <t>Xie et al., 2018, Cell Rep. 23(2): 652--665 (flybase.org/reports/FBrf0238545)</t>
        </is>
      </c>
      <c r="F512" t="inlineStr"/>
      <c r="G512" t="inlineStr"/>
      <c r="H512" t="inlineStr"/>
    </row>
    <row r="513">
      <c r="A513">
        <f>HYPERLINK("https://www.ebi.ac.uk/ols/ontologies/fbbt/terms?iri=http://purl.obolibrary.org/obo/FBbt_00048263","FBbt:00048263")</f>
        <v/>
      </c>
      <c r="B513" t="inlineStr">
        <is>
          <t>VLP-AMMC neuron of the dopaminergic PPM2 cluster</t>
        </is>
      </c>
      <c r="C513" t="inlineStr">
        <is>
          <t>None</t>
        </is>
      </c>
      <c r="D513" t="inlineStr">
        <is>
          <t>Adult dopaminergic neuron with a cell body in the PPM2 cluster. It has major arborization sites in the ventrolateral protocerebrum and the antennal mechanosensory and motor center.</t>
        </is>
      </c>
      <c r="E513" t="inlineStr">
        <is>
          <t>Xie et al., 2018, Cell Rep. 23(2): 652--665 (flybase.org/reports/FBrf0238545)</t>
        </is>
      </c>
      <c r="F513" t="inlineStr"/>
      <c r="G513" t="inlineStr"/>
      <c r="H513" t="inlineStr"/>
    </row>
    <row r="514">
      <c r="A514">
        <f>HYPERLINK("https://www.ebi.ac.uk/ols/ontologies/fbbt/terms?iri=http://purl.obolibrary.org/obo/FBbt_00004046","FBbt:00004046")</f>
        <v/>
      </c>
      <c r="B514" t="inlineStr">
        <is>
          <t>LNv neuron</t>
        </is>
      </c>
      <c r="C514" t="inlineStr">
        <is>
          <t>ventral adult lateral neuron; lateral neuron ventral; ventral lateral neurons</t>
        </is>
      </c>
      <c r="D514" t="inlineStr">
        <is>
          <t>Lateral period-expressing neuron (LN) of the adult brain whose cell body is located in the ventral cluster of LNs, at the level of the esophageal foramen (Helfrich-Forster, 1998). It has neurites associated with the accessory medulla (aMe) (Helfrich-Forster et al., 2007). The LN neuronal group are necessary and sufficient for generation of robust adult locomotor rhythms in the absence of environmental cues (Helfrich-Forster et al., 2007).</t>
        </is>
      </c>
      <c r="E514" t="inlineStr">
        <is>
          <t>Ewer et al., 1992, J. Neurosci. 12(9): 3321--3349 (flybase.org/reports/FBrf0056576); Helfrich-Forster, 1998, J. Comp. Physiol. A, Sens. Neural. Behav. Physiol. 182(4): 435--453 (flybase.org/reports/FBrf0101921); Renn et al., 1999, Cell 99(7): 791--802 (flybase.org/reports/FBrf0123172); Helfrich-Forster et al., 2007, J. Comp. Neurol. 500(1): 47--70 (flybase.org/reports/FBrf0193849)</t>
        </is>
      </c>
      <c r="F514" t="inlineStr"/>
      <c r="G514" t="inlineStr"/>
      <c r="H514" t="inlineStr"/>
    </row>
    <row r="515">
      <c r="A515">
        <f>HYPERLINK("https://www.ebi.ac.uk/ols/ontologies/fbbt/terms?iri=http://purl.obolibrary.org/obo/FBbt_00004045","FBbt:00004045")</f>
        <v/>
      </c>
      <c r="B515" t="inlineStr">
        <is>
          <t>LNd neuron</t>
        </is>
      </c>
      <c r="C515" t="inlineStr">
        <is>
          <t>dorsolateral neurons; dorsal adult lateral neuron; LNd</t>
        </is>
      </c>
      <c r="D515" t="inlineStr">
        <is>
          <t>Lateral period-expressing neuron (LN) of the adult brain whose cell body is located in the dorsal-most cluster of LNs. Initially all LNds follow the anterior optic tract (AOT) to the surface of the lateral horn (LH) (Schubert et al., 2017). These neurons project axons to the dorsal protocerebrum and terminate predominantly in the neuropil region close to the pars intercerebralis. These projections overlap with those of the DN neurons and many project contralaterally through the dorsal fusion commissure. These cells are a heterogeneous population with different combinations of cryptochrome (CRY), ion transport peptide (ITP) and neuropeptide F (sNPF) expression (Schubert et al., 2017).</t>
        </is>
      </c>
      <c r="E515" t="inlineStr">
        <is>
          <t>Helfrich-Forster et al., 2007, J. Comp. Neurol. 500(1): 47--70 (flybase.org/reports/FBrf0193849); Yoshii et al., 2008, J. Comp. Neurol. 508(6): 952--966 (flybase.org/reports/FBrf0205220); Hermann-Luibl et al., 2014, J. Neurosci. 34(29): 9522--9536 (flybase.org/reports/FBrf0225654); Schubert et al., 2018, J. Comp. Neurol. 526(7): 1209--1231 (flybase.org/reports/FBrf0238313)</t>
        </is>
      </c>
      <c r="F515" t="inlineStr"/>
      <c r="G515" t="inlineStr"/>
      <c r="H515" t="inlineStr"/>
    </row>
    <row r="516">
      <c r="A516">
        <f>HYPERLINK("https://www.ebi.ac.uk/ols/ontologies/fbbt/terms?iri=http://purl.obolibrary.org/obo/FBbt_00047886","FBbt:00047886")</f>
        <v/>
      </c>
      <c r="B516" t="inlineStr">
        <is>
          <t>adult central brain ensheathing glial cell</t>
        </is>
      </c>
      <c r="C516" t="inlineStr">
        <is>
          <t>None</t>
        </is>
      </c>
      <c r="D516" t="inlineStr">
        <is>
          <t>Any ensheathing glial cell (FBbt:00047836) that is part of some adult central brain (FBbt:00047887).</t>
        </is>
      </c>
      <c r="E516" t="inlineStr">
        <is>
          <t>Omoto et al., 2015, Dev. Biol. 404(2): 2--20 (flybase.org/reports/FBrf0229106)</t>
        </is>
      </c>
      <c r="F516" t="inlineStr"/>
      <c r="G516" t="inlineStr"/>
      <c r="H516" t="inlineStr"/>
    </row>
    <row r="517">
      <c r="A517">
        <f>HYPERLINK("https://www.ebi.ac.uk/ols/ontologies/fbbt/terms?iri=http://purl.obolibrary.org/obo/FBbt_00047885","FBbt:00047885")</f>
        <v/>
      </c>
      <c r="B517" t="inlineStr">
        <is>
          <t>adult central brain reticular glial cell</t>
        </is>
      </c>
      <c r="C517" t="inlineStr">
        <is>
          <t>adult central brain astrocyte; adult central brain astrocyte-like cell</t>
        </is>
      </c>
      <c r="D517" t="inlineStr">
        <is>
          <t>Any reticular neuropil associated glial cell (FBbt:00100505) that is part of some adult central brain (FBbt:00047887).</t>
        </is>
      </c>
      <c r="E517" t="inlineStr">
        <is>
          <t>Omoto et al., 2015, Dev. Biol. 404(2): 2--20 (flybase.org/reports/FBrf0229106)</t>
        </is>
      </c>
      <c r="F517" t="inlineStr"/>
      <c r="G517" t="inlineStr"/>
      <c r="H517" t="inlineStr"/>
    </row>
    <row r="518">
      <c r="A518">
        <f>HYPERLINK("https://www.ebi.ac.uk/ols/ontologies/fbbt/terms?iri=http://purl.obolibrary.org/obo/FBbt_00110505","FBbt:00110505")</f>
        <v/>
      </c>
      <c r="B518" t="inlineStr">
        <is>
          <t>adult fruitless pMP-d neuron</t>
        </is>
      </c>
      <c r="C518" t="inlineStr">
        <is>
          <t>pMP-d clone</t>
        </is>
      </c>
      <c r="D518" t="inlineStr">
        <is>
          <t>Any neuron (FBbt:00005106) that is part of some adult fruitless pMP-d lineage clone (FBbt:00110504).</t>
        </is>
      </c>
      <c r="E518" t="inlineStr">
        <is>
          <t>Cachero et al., 2010, Curr. Biol. 20(18): 1589--1601 (flybase.org/reports/FBrf0211926)</t>
        </is>
      </c>
      <c r="F518" t="inlineStr"/>
      <c r="G518" t="inlineStr"/>
      <c r="H518" t="inlineStr"/>
    </row>
    <row r="519">
      <c r="A519">
        <f>HYPERLINK("https://www.ebi.ac.uk/ols/ontologies/fbbt/terms?iri=http://purl.obolibrary.org/obo/FBbt_00003644","FBbt:00003644")</f>
        <v/>
      </c>
      <c r="B519" t="inlineStr">
        <is>
          <t>pb-fb-fb neuron</t>
        </is>
      </c>
      <c r="C519" t="inlineStr">
        <is>
          <t>None</t>
        </is>
      </c>
      <c r="D519" t="inlineStr">
        <is>
          <t>A small field neuron of the adult central complex that innervates only the protocerebral bridge and either two adjacent segments of one layer of the fan-shaped body or adjacent layers of a single segment.</t>
        </is>
      </c>
      <c r="E519" t="inlineStr">
        <is>
          <t>Hanesch et al., 1989, Cell Tissue Res. 257(2): 343--366 (flybase.org/reports/FBrf0049409)</t>
        </is>
      </c>
      <c r="F519" t="inlineStr"/>
      <c r="G519" t="inlineStr"/>
      <c r="H519" t="inlineStr"/>
    </row>
    <row r="520">
      <c r="A520">
        <f>HYPERLINK("https://www.ebi.ac.uk/ols/ontologies/fbbt/terms?iri=http://purl.obolibrary.org/obo/FBbt_00111172","FBbt:00111172")</f>
        <v/>
      </c>
      <c r="B520" t="inlineStr">
        <is>
          <t>adult fruitless pMP3 neuron</t>
        </is>
      </c>
      <c r="C520" t="inlineStr">
        <is>
          <t>fru-SP2 neuron; pMP3 neuron</t>
        </is>
      </c>
      <c r="D520" t="inlineStr">
        <is>
          <t>Any neuron (FBbt:00005106) that is part of some adult fruitless pMP3 lineage clone (FBbt:00111171).</t>
        </is>
      </c>
      <c r="E520" t="inlineStr">
        <is>
          <t>Yu et al., 2010, Curr. Biol. 20(18): 1602--1614 (flybase.org/reports/FBrf0211884)</t>
        </is>
      </c>
      <c r="F520" t="inlineStr"/>
      <c r="G520" t="inlineStr"/>
      <c r="H520" t="inlineStr"/>
    </row>
    <row r="521">
      <c r="A521">
        <f>HYPERLINK("https://www.ebi.ac.uk/ols/ontologies/fbbt/terms?iri=http://purl.obolibrary.org/obo/FBbt_00003645","FBbt:00003645")</f>
        <v/>
      </c>
      <c r="B521" t="inlineStr">
        <is>
          <t>pb-eb-eb neuron</t>
        </is>
      </c>
      <c r="C521" t="inlineStr">
        <is>
          <t>None</t>
        </is>
      </c>
      <c r="D521" t="inlineStr">
        <is>
          <t>A small field neuron of the adult central complex that innervates only the protocerebral bridge and two sectors of the ellipsoid body.</t>
        </is>
      </c>
      <c r="E521" t="inlineStr">
        <is>
          <t>Hanesch et al., 1989, Cell Tissue Res. 257(2): 343--366 (flybase.org/reports/FBrf0049409)</t>
        </is>
      </c>
      <c r="F521" t="inlineStr"/>
      <c r="G521" t="inlineStr"/>
      <c r="H521" t="inlineStr"/>
    </row>
    <row r="522">
      <c r="A522">
        <f>HYPERLINK("https://www.ebi.ac.uk/ols/ontologies/fbbt/terms?iri=http://purl.obolibrary.org/obo/FBbt_00110507","FBbt:00110507")</f>
        <v/>
      </c>
      <c r="B522" t="inlineStr">
        <is>
          <t>adult fruitless pMP-e (female) neuron</t>
        </is>
      </c>
      <c r="C522" t="inlineStr">
        <is>
          <t>pMP4 neuron; P1 neuron; pC1 neuron; fru-P neuron; pMP-e neuron</t>
        </is>
      </c>
      <c r="D522" t="inlineStr">
        <is>
          <t>Any neuron (FBbt:00005106) that is part of some adult fruitless pMP-e (female) lineage clone (FBbt:00110506) and that is part of some female organism (FBbt:00007011).</t>
        </is>
      </c>
      <c r="E522" t="inlineStr">
        <is>
          <t>Lee et al., 2000, J. Neurobiol. 43(4): 404--426 (flybase.org/reports/FBrf0128543); Kimura et al., 2008, Neuron 59(5): 759--769 (flybase.org/reports/FBrf0205974); Yu et al., 2010, Curr. Biol. 20(18): 1602--1614 (flybase.org/reports/FBrf0211884); Cachero et al., 2010, Curr. Biol. 20(18): 1589--1601 (flybase.org/reports/FBrf0211926)</t>
        </is>
      </c>
      <c r="F522" t="inlineStr"/>
      <c r="G522" t="inlineStr"/>
      <c r="H522" t="inlineStr"/>
    </row>
    <row r="523">
      <c r="A523">
        <f>HYPERLINK("https://www.ebi.ac.uk/ols/ontologies/fbbt/terms?iri=http://purl.obolibrary.org/obo/FBbt_00003642","FBbt:00003642")</f>
        <v/>
      </c>
      <c r="B523" t="inlineStr">
        <is>
          <t>fb-ltr neuron</t>
        </is>
      </c>
      <c r="C523" t="inlineStr">
        <is>
          <t>CX-SFN (fb-ltr)</t>
        </is>
      </c>
      <c r="D523" t="inlineStr">
        <is>
          <t>A small field neuron of the adult central complex that innervates only the fan-shaped body and the bulbs (lateral triangles).</t>
        </is>
      </c>
      <c r="E523" t="inlineStr">
        <is>
          <t>Hanesch et al., 1989, Cell Tissue Res. 257(2): 343--366 (flybase.org/reports/FBrf0049409)</t>
        </is>
      </c>
      <c r="F523" t="inlineStr"/>
      <c r="G523" t="inlineStr"/>
      <c r="H523" t="inlineStr"/>
    </row>
    <row r="524">
      <c r="A524">
        <f>HYPERLINK("https://www.ebi.ac.uk/ols/ontologies/fbbt/terms?iri=http://purl.obolibrary.org/obo/FBbt_00111174","FBbt:00111174")</f>
        <v/>
      </c>
      <c r="B524" t="inlineStr">
        <is>
          <t>adult fruitless pMP7 neuron</t>
        </is>
      </c>
      <c r="C524" t="inlineStr">
        <is>
          <t>fru-P neuron; pMP7 neuron</t>
        </is>
      </c>
      <c r="D524" t="inlineStr">
        <is>
          <t>Any neuron (FBbt:00005106) that is part of some adult fruitless pMP7 lineage clone (FBbt:00111173).</t>
        </is>
      </c>
      <c r="E524" t="inlineStr">
        <is>
          <t>Yu et al., 2010, Curr. Biol. 20(18): 1602--1614 (flybase.org/reports/FBrf0211884)</t>
        </is>
      </c>
      <c r="F524" t="inlineStr"/>
      <c r="G524" t="inlineStr"/>
      <c r="H524" t="inlineStr"/>
    </row>
    <row r="525">
      <c r="A525">
        <f>HYPERLINK("https://www.ebi.ac.uk/ols/ontologies/fbbt/terms?iri=http://purl.obolibrary.org/obo/FBbt_00003643","FBbt:00003643")</f>
        <v/>
      </c>
      <c r="B525" t="inlineStr">
        <is>
          <t>pb-no neuron</t>
        </is>
      </c>
      <c r="C525" t="inlineStr">
        <is>
          <t>CX-SFN (pb-no)</t>
        </is>
      </c>
      <c r="D525" t="inlineStr">
        <is>
          <t>A small field neuron of the adult central complex that innervates only the protocerebral bridge and the noduli.</t>
        </is>
      </c>
      <c r="E525" t="inlineStr">
        <is>
          <t>Hanesch et al., 1989, Cell Tissue Res. 257(2): 343--366 (flybase.org/reports/FBrf0049409)</t>
        </is>
      </c>
      <c r="F525" t="inlineStr"/>
      <c r="G525" t="inlineStr"/>
      <c r="H525" t="inlineStr"/>
    </row>
    <row r="526">
      <c r="A526">
        <f>HYPERLINK("https://www.ebi.ac.uk/ols/ontologies/fbbt/terms?iri=http://purl.obolibrary.org/obo/FBbt_00003640","FBbt:00003640")</f>
        <v/>
      </c>
      <c r="B526" t="inlineStr">
        <is>
          <t>fb-eb neuron</t>
        </is>
      </c>
      <c r="C526" t="inlineStr">
        <is>
          <t>None</t>
        </is>
      </c>
      <c r="D526" t="inlineStr">
        <is>
          <t>A small field neuron intrinsic to the central complex that arborizes in only the fan-shaped body and the ellipsoid body.</t>
        </is>
      </c>
      <c r="E526" t="inlineStr">
        <is>
          <t>Hanesch et al., 1989, Cell Tissue Res. 257(2): 343--366 (flybase.org/reports/FBrf0049409)</t>
        </is>
      </c>
      <c r="F526" t="inlineStr"/>
      <c r="G526" t="inlineStr"/>
      <c r="H526" t="inlineStr"/>
    </row>
    <row r="527">
      <c r="A527">
        <f>HYPERLINK("https://www.ebi.ac.uk/ols/ontologies/fbbt/terms?iri=http://purl.obolibrary.org/obo/FBbt_00048262","FBbt:00048262")</f>
        <v/>
      </c>
      <c r="B527" t="inlineStr">
        <is>
          <t>WED neuron of the dopaminergic PPM2 cluster</t>
        </is>
      </c>
      <c r="C527" t="inlineStr">
        <is>
          <t>DA-WED</t>
        </is>
      </c>
      <c r="D527" t="inlineStr">
        <is>
          <t>Adult dopaminergic neuron with a cell body in the PPM2 cluster. It has a major arborization site in the wedge. There are two of these cells per hemisphere.</t>
        </is>
      </c>
      <c r="E527" t="inlineStr">
        <is>
          <t>Liu et al., 2017, Science 356(6337): 534--539 (flybase.org/reports/FBrf0235476); Xie et al., 2018, Cell Rep. 23(2): 652--665 (flybase.org/reports/FBrf0238545)</t>
        </is>
      </c>
      <c r="F527" t="inlineStr"/>
      <c r="G527" t="inlineStr"/>
      <c r="H527" t="inlineStr"/>
    </row>
    <row r="528">
      <c r="A528">
        <f>HYPERLINK("https://www.ebi.ac.uk/ols/ontologies/fbbt/terms?iri=http://purl.obolibrary.org/obo/FBbt_00110601","FBbt:00110601")</f>
        <v/>
      </c>
      <c r="B528" t="inlineStr">
        <is>
          <t>adult fruitless aSP-g (male) neuron</t>
        </is>
      </c>
      <c r="C528" t="inlineStr">
        <is>
          <t>fru-aSP3 neuron; aSP6 neuron; aSP-g neuron; aSP3b2 neuron</t>
        </is>
      </c>
      <c r="D528" t="inlineStr">
        <is>
          <t>Any neuron (FBbt:00005106) that is part of some adult fruitless aSP-g (male) lineage clone (FBbt:00110600) and that develops from some neuroblast SLPal2 (FBbt:00050267) and that is part of some male organism (FBbt:00007004).</t>
        </is>
      </c>
      <c r="E528" t="inlineStr">
        <is>
          <t>Lee et al., 2000, J. Neurobiol. 43(4): 404--426 (flybase.org/reports/FBrf0128543); Kimura et al., 2008, Neuron 59(5): 759--769 (flybase.org/reports/FBrf0205974); Yu et al., 2010, Curr. Biol. 20(18): 1602--1614 (flybase.org/reports/FBrf0211884); Cachero et al., 2010, Curr. Biol. 20(18): 1589--1601 (flybase.org/reports/FBrf0211926); Yu et al., 2013, Curr. Biol. 23(8): 633--643 (flybase.org/reports/FBrf0221412); Ito et al., 2013, Curr. Biol. 23(8): 644--655 (flybase.org/reports/FBrf0221438)</t>
        </is>
      </c>
      <c r="F528" t="inlineStr"/>
      <c r="G528" t="inlineStr"/>
      <c r="H528" t="inlineStr"/>
    </row>
    <row r="529">
      <c r="A529">
        <f>HYPERLINK("https://www.ebi.ac.uk/ols/ontologies/fbbt/terms?iri=http://purl.obolibrary.org/obo/FBbt_00110611","FBbt:00110611")</f>
        <v/>
      </c>
      <c r="B529" t="inlineStr">
        <is>
          <t>adult fruitless pIP-e (male) neuron</t>
        </is>
      </c>
      <c r="C529" t="inlineStr">
        <is>
          <t>pC2 neuron; P4a neuron; pIP5 neuron; pIP-e neuron; pIP6 neuron; P4b neuron; fru-P neuron</t>
        </is>
      </c>
      <c r="D529" t="inlineStr">
        <is>
          <t>Any neuron (FBbt:00005106) that is part of some adult fruitless pIP-e (male) lineage clone (FBbt:00110610) and that develops from some neuroblast DL1 (FBbt:00050184) and that is part of some male organism (FBbt:00007004).</t>
        </is>
      </c>
      <c r="E529" t="inlineStr">
        <is>
          <t>Lee et al., 2000, J. Neurobiol. 43(4): 404--426 (flybase.org/reports/FBrf0128543); Kimura et al., 2008, Neuron 59(5): 759--769 (flybase.org/reports/FBrf0205974); Yu et al., 2010, Curr. Biol. 20(18): 1602--1614 (flybase.org/reports/FBrf0211884); Cachero et al., 2010, Curr. Biol. 20(18): 1589--1601 (flybase.org/reports/FBrf0211926); Ito et al., 2013, Curr. Biol. 23(8): 644--655 (flybase.org/reports/FBrf0221438)</t>
        </is>
      </c>
      <c r="F529" t="inlineStr"/>
      <c r="G529" t="inlineStr"/>
      <c r="H529" t="inlineStr"/>
    </row>
    <row r="530">
      <c r="A530">
        <f>HYPERLINK("https://www.ebi.ac.uk/ols/ontologies/fbbt/terms?iri=http://purl.obolibrary.org/obo/FBbt_00111176","FBbt:00111176")</f>
        <v/>
      </c>
      <c r="B530" t="inlineStr">
        <is>
          <t>adult fruitless pSG2 neuron</t>
        </is>
      </c>
      <c r="C530" t="inlineStr">
        <is>
          <t>pSG2 neuron; fru-SG neuron</t>
        </is>
      </c>
      <c r="D530" t="inlineStr">
        <is>
          <t>Any neuron (FBbt:00005106) that is part of some adult fruitless pSG2 lineage clone (FBbt:00111175).</t>
        </is>
      </c>
      <c r="E530" t="inlineStr">
        <is>
          <t>Yu et al., 2010, Curr. Biol. 20(18): 1602--1614 (flybase.org/reports/FBrf0211884)</t>
        </is>
      </c>
      <c r="F530" t="inlineStr"/>
      <c r="G530" t="inlineStr"/>
      <c r="H530" t="inlineStr"/>
    </row>
    <row r="531">
      <c r="A531">
        <f>HYPERLINK("https://www.ebi.ac.uk/ols/ontologies/fbbt/terms?iri=http://purl.obolibrary.org/obo/FBbt_00110617","FBbt:00110617")</f>
        <v/>
      </c>
      <c r="B531" t="inlineStr">
        <is>
          <t>adult fruitless pMP-b (male) neuron</t>
        </is>
      </c>
      <c r="C531" t="inlineStr">
        <is>
          <t>pMP5 neuron; DN1 neuron; pMP-b neuron</t>
        </is>
      </c>
      <c r="D531" t="inlineStr">
        <is>
          <t>Any neuron (FBbt:00005106) that is part of some adult fruitless pMP-b (male) lineage clone (FBbt:00110616) and that develops from some neuroblast DM2 (FBbt:00050121) and that is part of some male organism (FBbt:00007004).</t>
        </is>
      </c>
      <c r="E531" t="inlineStr">
        <is>
          <t>Yu et al., 2010, Curr. Biol. 20(18): 1602--1614 (flybase.org/reports/FBrf0211884); Cachero et al., 2010, Curr. Biol. 20(18): 1589--1601 (flybase.org/reports/FBrf0211926); Yu et al., 2013, Curr. Biol. 23(8): 633--643 (flybase.org/reports/FBrf0221412); Ito et al., 2013, Curr. Biol. 23(8): 644--655 (flybase.org/reports/FBrf0221438)</t>
        </is>
      </c>
      <c r="F531" t="inlineStr"/>
      <c r="G531" t="inlineStr"/>
      <c r="H531" t="inlineStr"/>
    </row>
    <row r="532">
      <c r="A532">
        <f>HYPERLINK("https://www.ebi.ac.uk/ols/ontologies/fbbt/terms?iri=http://purl.obolibrary.org/obo/FBbt_00003641","FBbt:00003641")</f>
        <v/>
      </c>
      <c r="B532" t="inlineStr">
        <is>
          <t>fb-eb-no neuron</t>
        </is>
      </c>
      <c r="C532" t="inlineStr">
        <is>
          <t>None</t>
        </is>
      </c>
      <c r="D532" t="inlineStr">
        <is>
          <t>A small field neuron intrinsic to the central complex that arborizes in only the fan-shaped body, the ellipsoid body and the nodulus.</t>
        </is>
      </c>
      <c r="E532" t="inlineStr">
        <is>
          <t>Hanesch et al., 1989, Cell Tissue Res. 257(2): 343--366 (flybase.org/reports/FBrf0049409)</t>
        </is>
      </c>
      <c r="F532" t="inlineStr"/>
      <c r="G532" t="inlineStr"/>
      <c r="H532" t="inlineStr"/>
    </row>
    <row r="533">
      <c r="A533">
        <f>HYPERLINK("https://www.ebi.ac.uk/ols/ontologies/fbbt/terms?iri=http://purl.obolibrary.org/obo/FBbt_00048261","FBbt:00048261")</f>
        <v/>
      </c>
      <c r="B533" t="inlineStr">
        <is>
          <t>VLP neuron of the dopaminergic PPM2 cluster</t>
        </is>
      </c>
      <c r="C533" t="inlineStr">
        <is>
          <t>None</t>
        </is>
      </c>
      <c r="D533" t="inlineStr">
        <is>
          <t>Adult dopaminergic neuron with a cell body in the PPM2 cluster. It has a major arborization site in the ventrolateral protocerebrum and is distinct from the other VLP-innervating PPM2 neurons.</t>
        </is>
      </c>
      <c r="E533" t="inlineStr">
        <is>
          <t>Xie et al., 2018, Cell Rep. 23(2): 652--665 (flybase.org/reports/FBrf0238545)</t>
        </is>
      </c>
      <c r="F533" t="inlineStr"/>
      <c r="G533" t="inlineStr"/>
      <c r="H533" t="inlineStr"/>
    </row>
    <row r="534">
      <c r="A534">
        <f>HYPERLINK("https://www.ebi.ac.uk/ols/ontologies/fbbt/terms?iri=http://purl.obolibrary.org/obo/FBbt_00048260","FBbt:00048260")</f>
        <v/>
      </c>
      <c r="B534" t="inlineStr">
        <is>
          <t>VLP-SAD neuron of the dopaminergic PPM2 cluster</t>
        </is>
      </c>
      <c r="C534" t="inlineStr">
        <is>
          <t>None</t>
        </is>
      </c>
      <c r="D534" t="inlineStr">
        <is>
          <t>Adult dopaminergic neuron with a cell body in the PPM2 cluster. It has major arborization sites in the ventrolateral protocerebrum and the saddle.</t>
        </is>
      </c>
      <c r="E534" t="inlineStr">
        <is>
          <t>Xie et al., 2018, Cell Rep. 23(2): 652--665 (flybase.org/reports/FBrf0238545)</t>
        </is>
      </c>
      <c r="F534" t="inlineStr"/>
      <c r="G534" t="inlineStr"/>
      <c r="H534" t="inlineStr"/>
    </row>
    <row r="535">
      <c r="A535">
        <f>HYPERLINK("https://www.ebi.ac.uk/ols/ontologies/fbbt/terms?iri=http://purl.obolibrary.org/obo/FBbt_00111178","FBbt:00111178")</f>
        <v/>
      </c>
      <c r="B535" t="inlineStr">
        <is>
          <t>adult fruitless pSP2 neuron</t>
        </is>
      </c>
      <c r="C535" t="inlineStr">
        <is>
          <t>pSP2 neuron; fru-P neuron</t>
        </is>
      </c>
      <c r="D535" t="inlineStr">
        <is>
          <t>Any neuron (FBbt:00005106) that is part of some adult fruitless pSP2 lineage clone (FBbt:00111177).</t>
        </is>
      </c>
      <c r="E535" t="inlineStr">
        <is>
          <t>Yu et al., 2010, Curr. Biol. 20(18): 1602--1614 (flybase.org/reports/FBrf0211884)</t>
        </is>
      </c>
      <c r="F535" t="inlineStr"/>
      <c r="G535" t="inlineStr"/>
      <c r="H535" t="inlineStr"/>
    </row>
    <row r="536">
      <c r="A536">
        <f>HYPERLINK("https://www.ebi.ac.uk/ols/ontologies/fbbt/terms?iri=http://purl.obolibrary.org/obo/FBbt_00110459","FBbt:00110459")</f>
        <v/>
      </c>
      <c r="B536" t="inlineStr">
        <is>
          <t>adult fruitless aSP-f (female) neuron</t>
        </is>
      </c>
      <c r="C536" t="inlineStr">
        <is>
          <t>aSP-f neuron; DC1 neuron</t>
        </is>
      </c>
      <c r="D536" t="inlineStr">
        <is>
          <t>Any neuron (FBbt:00005106) that is part of some adult fruitless aSP-f (female) lineage clone (FBbt:00110458) and that is part of some female organism (FBbt:00007011).</t>
        </is>
      </c>
      <c r="E536" t="inlineStr">
        <is>
          <t>Cachero et al., 2010, Curr. Biol. 20(18): 1589--1601 (flybase.org/reports/FBrf0211926)</t>
        </is>
      </c>
      <c r="F536" t="inlineStr"/>
      <c r="G536" t="inlineStr"/>
      <c r="H536" t="inlineStr"/>
    </row>
    <row r="537">
      <c r="A537">
        <f>HYPERLINK("https://www.ebi.ac.uk/ols/ontologies/fbbt/terms?iri=http://purl.obolibrary.org/obo/FBbt_00111366","FBbt:00111366")</f>
        <v/>
      </c>
      <c r="B537" t="inlineStr">
        <is>
          <t>adult carpet glial cell</t>
        </is>
      </c>
      <c r="C537" t="inlineStr">
        <is>
          <t>None</t>
        </is>
      </c>
      <c r="D537" t="inlineStr">
        <is>
          <t>Large glial cell of the adult optic lobe. These cells are found on the dorsal and ventral edges of the lamina, proximal to marginal glial cells.</t>
        </is>
      </c>
      <c r="E537" t="inlineStr">
        <is>
          <t>Edwards et al., 2012, J. Comp. Neurol. 520(10): 2067--2085 (flybase.org/reports/FBrf0218414)</t>
        </is>
      </c>
      <c r="F537" t="inlineStr"/>
      <c r="G537" t="inlineStr"/>
      <c r="H537" t="inlineStr"/>
    </row>
    <row r="538">
      <c r="A538">
        <f>HYPERLINK("https://www.ebi.ac.uk/ols/ontologies/fbbt/terms?iri=http://purl.obolibrary.org/obo/FBbt_00110623","FBbt:00110623")</f>
        <v/>
      </c>
      <c r="B538" t="inlineStr">
        <is>
          <t>adult fruitless pMP-f (male) neuron</t>
        </is>
      </c>
      <c r="C538" t="inlineStr">
        <is>
          <t>pMP-f neuron; fru-P neuron; P2e neuron</t>
        </is>
      </c>
      <c r="D538" t="inlineStr">
        <is>
          <t>Any neuron (FBbt:00005106) that is part of some adult fruitless pMP-f (male) lineage clone (FBbt:00110622) and that develops from some neuroblast DM6 (FBbt:00050142) and that is part of some male organism (FBbt:00007004).</t>
        </is>
      </c>
      <c r="E538" t="inlineStr">
        <is>
          <t>Lee et al., 2000, J. Neurobiol. 43(4): 404--426 (flybase.org/reports/FBrf0128543); Kimura et al., 2008, Neuron 59(5): 759--769 (flybase.org/reports/FBrf0205974); Cachero et al., 2010, Curr. Biol. 20(18): 1589--1601 (flybase.org/reports/FBrf0211926); Yu et al., 2013, Curr. Biol. 23(8): 633--643 (flybase.org/reports/FBrf0221412); Ito et al., 2013, Curr. Biol. 23(8): 644--655 (flybase.org/reports/FBrf0221438)</t>
        </is>
      </c>
      <c r="F538" t="inlineStr"/>
      <c r="G538" t="inlineStr"/>
      <c r="H538" t="inlineStr"/>
    </row>
    <row r="539">
      <c r="A539">
        <f>HYPERLINK("https://www.ebi.ac.uk/ols/ontologies/fbbt/terms?iri=http://purl.obolibrary.org/obo/FBbt_00110097","FBbt:00110097")</f>
        <v/>
      </c>
      <c r="B539" t="inlineStr">
        <is>
          <t>medullary tangential neuron vGlutMtnew1</t>
        </is>
      </c>
      <c r="C539" t="inlineStr">
        <is>
          <t>vGlutMtnew1; Mtnew1</t>
        </is>
      </c>
      <c r="D539" t="inlineStr">
        <is>
          <t>Medullary tangential neuron that branches extensively to cover the whole medulla, except for layers M1 and M10. It is a glutamatergic neuron (Raghu and Borst, 2011).</t>
        </is>
      </c>
      <c r="E539" t="inlineStr">
        <is>
          <t>Raghu and Borst, 2011, PLoS ONE 6(5): e19472 (flybase.org/reports/FBrf0213690)</t>
        </is>
      </c>
      <c r="F539" t="inlineStr"/>
      <c r="G539" t="inlineStr"/>
      <c r="H539" t="inlineStr"/>
    </row>
    <row r="540">
      <c r="A540">
        <f>HYPERLINK("https://www.ebi.ac.uk/ols/ontologies/fbbt/terms?iri=http://purl.obolibrary.org/obo/FBbt_00110098","FBbt:00110098")</f>
        <v/>
      </c>
      <c r="B540" t="inlineStr">
        <is>
          <t>medullary tangential neuron vGlutMtnew2</t>
        </is>
      </c>
      <c r="C540" t="inlineStr">
        <is>
          <t>vGlutMtnew2; Mtnew2</t>
        </is>
      </c>
      <c r="D540" t="inlineStr">
        <is>
          <t>Medullary tangential neuron that branches extensively in medulla layers M4 to M7. It is a glutamatergic neuron (Raghu and Borst, 2011).</t>
        </is>
      </c>
      <c r="E540" t="inlineStr">
        <is>
          <t>Raghu and Borst, 2011, PLoS ONE 6(5): e19472 (flybase.org/reports/FBrf0213690)</t>
        </is>
      </c>
      <c r="F540" t="inlineStr"/>
      <c r="G540" t="inlineStr"/>
      <c r="H540" t="inlineStr"/>
    </row>
    <row r="541">
      <c r="A541">
        <f>HYPERLINK("https://www.ebi.ac.uk/ols/ontologies/fbbt/terms?iri=http://purl.obolibrary.org/obo/FBbt_00110435","FBbt:00110435")</f>
        <v/>
      </c>
      <c r="B541" t="inlineStr">
        <is>
          <t>adult fruitless aIP-c (female) neuron</t>
        </is>
      </c>
      <c r="C541" t="inlineStr">
        <is>
          <t>aSP10 neuron; fru-AL neuron; aIP1 neuron; AL6b neuron; AL5b neuron; aIP-c neuron; aIP4 neuron</t>
        </is>
      </c>
      <c r="D541" t="inlineStr">
        <is>
          <t>Any neuron (FBbt:00005106) that is part of some adult fruitless aIP-c (female) lineage clone (FBbt:00110434) and that develops from some neuroblast VLPl&amp;d1 (FBbt:00050074) and that is part of some female organism (FBbt:00007011).</t>
        </is>
      </c>
      <c r="E541" t="inlineStr">
        <is>
          <t>Lee et al., 2000, J. Neurobiol. 43(4): 404--426 (flybase.org/reports/FBrf0128543); Kimura et al., 2008, Neuron 59(5): 759--769 (flybase.org/reports/FBrf0205974); Cachero et al., 2010, Curr. Biol. 20(18): 1589--1601 (flybase.org/reports/FBrf0211926); Yu et al., 2013, Curr. Biol. 23(8): 633--643 (flybase.org/reports/FBrf0221412); Ito et al., 2013, Curr. Biol. 23(8): 644--655 (flybase.org/reports/FBrf0221438)</t>
        </is>
      </c>
      <c r="F541" t="inlineStr"/>
      <c r="G541" t="inlineStr"/>
      <c r="H541" t="inlineStr"/>
    </row>
    <row r="542">
      <c r="A542">
        <f>HYPERLINK("https://www.ebi.ac.uk/ols/ontologies/fbbt/terms?iri=http://purl.obolibrary.org/obo/FBbt_00110425","FBbt:00110425")</f>
        <v/>
      </c>
      <c r="B542" t="inlineStr">
        <is>
          <t>adult fruitless aDT-f neuron</t>
        </is>
      </c>
      <c r="C542" t="inlineStr">
        <is>
          <t>aDT-f neuron</t>
        </is>
      </c>
      <c r="D542" t="inlineStr">
        <is>
          <t>Any neuron (FBbt:00005106) that is part of some adult fruitless aDT-f lineage clone (FBbt:00110424) and that develops from some neuroblast ALv1 (FBbt:00067348).</t>
        </is>
      </c>
      <c r="E542" t="inlineStr">
        <is>
          <t>Cachero et al., 2010, Curr. Biol. 20(18): 1589--1601 (flybase.org/reports/FBrf0211926); Yu et al., 2013, Curr. Biol. 23(8): 633--643 (flybase.org/reports/FBrf0221412); Ito et al., 2013, Curr. Biol. 23(8): 644--655 (flybase.org/reports/FBrf0221438)</t>
        </is>
      </c>
      <c r="F542" t="inlineStr"/>
      <c r="G542" t="inlineStr"/>
      <c r="H542" t="inlineStr"/>
    </row>
    <row r="543">
      <c r="A543">
        <f>HYPERLINK("https://www.ebi.ac.uk/ols/ontologies/fbbt/terms?iri=http://purl.obolibrary.org/obo/FBbt_00048248","FBbt:00048248")</f>
        <v/>
      </c>
      <c r="B543" t="inlineStr">
        <is>
          <t>AOTU neuron of the dopaminergic PAL cluster</t>
        </is>
      </c>
      <c r="C543" t="inlineStr">
        <is>
          <t>None</t>
        </is>
      </c>
      <c r="D543" t="inlineStr">
        <is>
          <t>Adult dopaminergic neuron with a cell body in the PAL cluster. It has a major arborization site in the anterior optic tubercle.</t>
        </is>
      </c>
      <c r="E543" t="inlineStr">
        <is>
          <t>Xie et al., 2018, Cell Rep. 23(2): 652--665 (flybase.org/reports/FBrf0238545)</t>
        </is>
      </c>
      <c r="F543" t="inlineStr"/>
      <c r="G543" t="inlineStr"/>
      <c r="H543" t="inlineStr"/>
    </row>
    <row r="544">
      <c r="A544">
        <f>HYPERLINK("https://www.ebi.ac.uk/ols/ontologies/fbbt/terms?iri=http://purl.obolibrary.org/obo/FBbt_00111769","FBbt:00111769")</f>
        <v/>
      </c>
      <c r="B544" t="inlineStr">
        <is>
          <t>medulla columnar neuron MC63</t>
        </is>
      </c>
      <c r="C544" t="inlineStr">
        <is>
          <t>VPN-MB1</t>
        </is>
      </c>
      <c r="D544" t="inlineStr">
        <is>
          <t>A medulla columnar neuron whose cell body is located on the lateral surface of the medulla cell body rind. It mainly arborizes in the ventral medulla, in layer 8. It projects to a small glomerulus in the lateral region of the optic glomeruli of the PVLP, dorsal to MC62. It also projects to the ventral accessory calyx (Vogt et al., 2016) via an optic lobe-calycal tract (Yagi et al., 2016).</t>
        </is>
      </c>
      <c r="E544" t="inlineStr">
        <is>
          <t>Vogt et al., 2016, eLife 5: e14009 (flybase.org/reports/FBrf0232492); Yagi et al., 2016, Sci. Rep. 6: 29481 (flybase.org/reports/FBrf0232885); Panser et al., 2016, Curr. Biol. 26(15): 1943--1954 (flybase.org/reports/FBrf0233032)</t>
        </is>
      </c>
      <c r="F544" t="inlineStr"/>
      <c r="G544" t="inlineStr"/>
      <c r="H544" t="inlineStr"/>
    </row>
    <row r="545">
      <c r="A545">
        <f>HYPERLINK("https://www.ebi.ac.uk/ols/ontologies/fbbt/terms?iri=http://purl.obolibrary.org/obo/FBbt_00111198","FBbt:00111198")</f>
        <v/>
      </c>
      <c r="B545" t="inlineStr">
        <is>
          <t>adult fruitless aSP4 (female) neuron</t>
        </is>
      </c>
      <c r="C545" t="inlineStr">
        <is>
          <t>aSP4 neuron of the dopaminergic PAL cluster; fru-aSP3 neuron; aSP4 neuron</t>
        </is>
      </c>
      <c r="D545" t="inlineStr">
        <is>
          <t>Fruitless-expressing neuron of the adult female belonging to the aSP4 lineage clone. Its cell body is located between the anterior optic tract and the ventrolateral protocerebrum. A neurite projects ventrally before turning dorsally and extending superficially along the arch to the contralateral hemisphere. Arbors span the lateral junction. The male equivalent of this cell has more extensive arbors in the ring structure (Yu et al., 2010). There are one or two of these cells per hemisphere (Yu et al., 2010). It is also a dopaminergic cell of the PAL cluster (Xie et al., 2018).</t>
        </is>
      </c>
      <c r="E545" t="inlineStr">
        <is>
          <t>Lee et al., 2000, J. Neurobiol. 43(4): 404--426 (flybase.org/reports/FBrf0128543); Yu et al., 2010, Curr. Biol. 20(18): 1602--1614 (flybase.org/reports/FBrf0211884); Xie et al., 2018, Cell Rep. 23(2): 652--665 (flybase.org/reports/FBrf0238545)</t>
        </is>
      </c>
      <c r="F545" t="inlineStr"/>
      <c r="G545" t="inlineStr"/>
      <c r="H545" t="inlineStr"/>
    </row>
    <row r="546">
      <c r="A546">
        <f>HYPERLINK("https://www.ebi.ac.uk/ols/ontologies/fbbt/terms?iri=http://purl.obolibrary.org/obo/FBbt_00048247","FBbt:00048247")</f>
        <v/>
      </c>
      <c r="B546" t="inlineStr">
        <is>
          <t>SMP-PRW neuron of the dopaminergic PAL cluster</t>
        </is>
      </c>
      <c r="C546" t="inlineStr">
        <is>
          <t>None</t>
        </is>
      </c>
      <c r="D546" t="inlineStr">
        <is>
          <t>Adult dopaminergic neuron with a cell body in the PAL cluster. It has major arborization sites in the superior medial protocerebrum and the prow.</t>
        </is>
      </c>
      <c r="E546" t="inlineStr">
        <is>
          <t>Xie et al., 2018, Cell Rep. 23(2): 652--665 (flybase.org/reports/FBrf0238545)</t>
        </is>
      </c>
      <c r="F546" t="inlineStr"/>
      <c r="G546" t="inlineStr"/>
      <c r="H546" t="inlineStr"/>
    </row>
    <row r="547">
      <c r="A547">
        <f>HYPERLINK("https://www.ebi.ac.uk/ols/ontologies/fbbt/terms?iri=http://purl.obolibrary.org/obo/FBbt_00003629","FBbt:00003629")</f>
        <v/>
      </c>
      <c r="B547" t="inlineStr">
        <is>
          <t>DN1 neuron</t>
        </is>
      </c>
      <c r="C547" t="inlineStr">
        <is>
          <t>adult dorsal neuron-1; adult dorsal neuron 1</t>
        </is>
      </c>
      <c r="D547" t="inlineStr">
        <is>
          <t>DN (dorsal Period-expressing neuron of adult brain) whose cell body is located dorsal to the projections of the `s-LNv Pdf neurons` (FBbt:00003764). There are about 17 of these per cluster.</t>
        </is>
      </c>
      <c r="E547" t="inlineStr">
        <is>
          <t>Helfrich-Forster, 2005, Genes Brain Behav. 4(2): 65--76 (flybase.org/reports/FBrf0183981); Helfrich-Forster et al., 2007, J. Comp. Neurol. 500(1): 47--70 (flybase.org/reports/FBrf0193849)</t>
        </is>
      </c>
      <c r="F547" t="inlineStr"/>
      <c r="G547" t="inlineStr"/>
      <c r="H547" t="inlineStr"/>
    </row>
    <row r="548">
      <c r="A548">
        <f>HYPERLINK("https://www.ebi.ac.uk/ols/ontologies/fbbt/terms?iri=http://purl.obolibrary.org/obo/FBbt_00111768","FBbt:00111768")</f>
        <v/>
      </c>
      <c r="B548" t="inlineStr">
        <is>
          <t>medulla columnar neuron MC62</t>
        </is>
      </c>
      <c r="C548" t="inlineStr">
        <is>
          <t>None</t>
        </is>
      </c>
      <c r="D548" t="inlineStr">
        <is>
          <t>A medulla columnar neuron whose cell body is located on the lateral surface of the medulla cell body rind. It mainly arborizes in the ventral medulla. It projects to a small glomerulus in the lateral region of the optic glomeruli of the PVLP, posterior to LC16.</t>
        </is>
      </c>
      <c r="E548" t="inlineStr">
        <is>
          <t>Panser et al., 2016, Curr. Biol. 26(15): 1943--1954 (flybase.org/reports/FBrf0233032)</t>
        </is>
      </c>
      <c r="F548" t="inlineStr"/>
      <c r="G548" t="inlineStr"/>
      <c r="H548" t="inlineStr"/>
    </row>
    <row r="549">
      <c r="A549">
        <f>HYPERLINK("https://www.ebi.ac.uk/ols/ontologies/fbbt/terms?iri=http://purl.obolibrary.org/obo/FBbt_00110589","FBbt:00110589")</f>
        <v/>
      </c>
      <c r="B549" t="inlineStr">
        <is>
          <t>adult fruitless aIP-d (male) neuron</t>
        </is>
      </c>
      <c r="C549" t="inlineStr">
        <is>
          <t>aIP-d neuron; aIP1 neuron; fru-AL neuron; AL6b neuron</t>
        </is>
      </c>
      <c r="D549" t="inlineStr">
        <is>
          <t>Any neuron (FBbt:00005106) that is part of some adult fruitless aIP-d (male) lineage clone (FBbt:00110588) and that is part of some male organism (FBbt:00007004).</t>
        </is>
      </c>
      <c r="E549" t="inlineStr">
        <is>
          <t>Cachero et al., 2010, Curr. Biol. 20(18): 1589--1601 (flybase.org/reports/FBrf0211926)</t>
        </is>
      </c>
      <c r="F549" t="inlineStr"/>
      <c r="G549" t="inlineStr"/>
      <c r="H549" t="inlineStr"/>
    </row>
    <row r="550">
      <c r="A550">
        <f>HYPERLINK("https://www.ebi.ac.uk/ols/ontologies/fbbt/terms?iri=http://purl.obolibrary.org/obo/FBbt_00048249","FBbt:00048249")</f>
        <v/>
      </c>
      <c r="B550" t="inlineStr">
        <is>
          <t>LH-SMP neuron of the dopaminergic PAL cluster</t>
        </is>
      </c>
      <c r="C550" t="inlineStr">
        <is>
          <t>None</t>
        </is>
      </c>
      <c r="D550" t="inlineStr">
        <is>
          <t>Adult dopaminergic neuron with a cell body in the PAL cluster. It has major arborization sites in the lateral horn and the superior medial protocerebrum.</t>
        </is>
      </c>
      <c r="E550" t="inlineStr">
        <is>
          <t>Xie et al., 2018, Cell Rep. 23(2): 652--665 (flybase.org/reports/FBrf0238545)</t>
        </is>
      </c>
      <c r="F550" t="inlineStr"/>
      <c r="G550" t="inlineStr"/>
      <c r="H550" t="inlineStr"/>
    </row>
    <row r="551">
      <c r="A551">
        <f>HYPERLINK("https://www.ebi.ac.uk/ols/ontologies/fbbt/terms?iri=http://purl.obolibrary.org/obo/FBbt_00110457","FBbt:00110457")</f>
        <v/>
      </c>
      <c r="B551" t="inlineStr">
        <is>
          <t>adult fruitless aSP-e neuron</t>
        </is>
      </c>
      <c r="C551" t="inlineStr">
        <is>
          <t>aSP-e neuron</t>
        </is>
      </c>
      <c r="D551" t="inlineStr">
        <is>
          <t>Any neuron (FBbt:00005106) that is part of some adult fruitless aSP-e lineage clone (FBbt:00110456).</t>
        </is>
      </c>
      <c r="E551" t="inlineStr">
        <is>
          <t>Cachero et al., 2010, Curr. Biol. 20(18): 1589--1601 (flybase.org/reports/FBrf0211926)</t>
        </is>
      </c>
      <c r="F551" t="inlineStr"/>
      <c r="G551" t="inlineStr"/>
      <c r="H551" t="inlineStr"/>
    </row>
    <row r="552">
      <c r="A552">
        <f>HYPERLINK("https://www.ebi.ac.uk/ols/ontologies/fbbt/terms?iri=http://purl.obolibrary.org/obo/FBbt_00067372","FBbt:00067372")</f>
        <v/>
      </c>
      <c r="B552" t="inlineStr">
        <is>
          <t>adult antennal lobe projection neuron DA1 vPN</t>
        </is>
      </c>
      <c r="C552" t="inlineStr">
        <is>
          <t>DA1 vPN</t>
        </is>
      </c>
      <c r="D552" t="inlineStr">
        <is>
          <t>Antennal lobe projection neuron from the ventral neuroblast lineage whose dendrites innervate only antennal lobe glomerulus DA1. It projects via the mediolateral antennal lobe tract to reach the lateral horn directly. This neuron is GABAergic.</t>
        </is>
      </c>
      <c r="E552" t="inlineStr">
        <is>
          <t>Wong et al., 2002, Cell 109(2): 229--241 (flybase.org/reports/FBrf0146916); Marin et al., 2002, Cell 109(2): 243--255 (flybase.org/reports/FBrf0146917); Jefferis et al., 2007, Cell 128(6): 1187--1203 (flybase.org/reports/FBrf0203179)</t>
        </is>
      </c>
      <c r="F552" t="inlineStr"/>
      <c r="G552" t="inlineStr"/>
      <c r="H552" t="inlineStr"/>
    </row>
    <row r="553">
      <c r="A553">
        <f>HYPERLINK("https://www.ebi.ac.uk/ols/ontologies/fbbt/terms?iri=http://purl.obolibrary.org/obo/FBbt_00111168","FBbt:00111168")</f>
        <v/>
      </c>
      <c r="B553" t="inlineStr">
        <is>
          <t>adult fruitless aSG3 neuron</t>
        </is>
      </c>
      <c r="C553" t="inlineStr">
        <is>
          <t>aSG3 neuron; fru-SG neuron</t>
        </is>
      </c>
      <c r="D553" t="inlineStr">
        <is>
          <t>Any neuron (FBbt:00005106) that is part of some adult fruitless aSG3 lineage clone (FBbt:00111167).</t>
        </is>
      </c>
      <c r="E553" t="inlineStr">
        <is>
          <t>Yu et al., 2010, Curr. Biol. 20(18): 1602--1614 (flybase.org/reports/FBrf0211884)</t>
        </is>
      </c>
      <c r="F553" t="inlineStr"/>
      <c r="G553" t="inlineStr"/>
      <c r="H553" t="inlineStr"/>
    </row>
    <row r="554">
      <c r="A554">
        <f>HYPERLINK("https://www.ebi.ac.uk/ols/ontologies/fbbt/terms?iri=http://purl.obolibrary.org/obo/FBbt_00110431","FBbt:00110431")</f>
        <v/>
      </c>
      <c r="B554" t="inlineStr">
        <is>
          <t>adult fruitless aIP-a neuron</t>
        </is>
      </c>
      <c r="C554" t="inlineStr">
        <is>
          <t>aIP-a neuron</t>
        </is>
      </c>
      <c r="D554" t="inlineStr">
        <is>
          <t>Any neuron (FBbt:00005106) that is part of some adult fruitless aIP-a lineage clone (FBbt:00110430) and that develops from some neuroblast VLPa2 (FBbt:00050133).</t>
        </is>
      </c>
      <c r="E554" t="inlineStr">
        <is>
          <t>Cachero et al., 2010, Curr. Biol. 20(18): 1589--1601 (flybase.org/reports/FBrf0211926); Yu et al., 2013, Curr. Biol. 23(8): 633--643 (flybase.org/reports/FBrf0221412); Ito et al., 2013, Curr. Biol. 23(8): 644--655 (flybase.org/reports/FBrf0221438)</t>
        </is>
      </c>
      <c r="F554" t="inlineStr"/>
      <c r="G554" t="inlineStr"/>
      <c r="H554" t="inlineStr"/>
    </row>
    <row r="555">
      <c r="A555">
        <f>HYPERLINK("https://www.ebi.ac.uk/ols/ontologies/fbbt/terms?iri=http://purl.obolibrary.org/obo/FBbt_00048256","FBbt:00048256")</f>
        <v/>
      </c>
      <c r="B555" t="inlineStr">
        <is>
          <t>ALT neuron of the dopaminergic PPL2ab cluster</t>
        </is>
      </c>
      <c r="C555" t="inlineStr">
        <is>
          <t>None</t>
        </is>
      </c>
      <c r="D555" t="inlineStr">
        <is>
          <t>Adult dopaminergic neuron with a cell body in the PPL2ab cluster. It passes close to the antennal lobe tract and is distinct from the ALT-PLPC neuron.</t>
        </is>
      </c>
      <c r="E555" t="inlineStr">
        <is>
          <t>Xie et al., 2018, Cell Rep. 23(2): 652--665 (flybase.org/reports/FBrf0238545)</t>
        </is>
      </c>
      <c r="F555" t="inlineStr"/>
      <c r="G555" t="inlineStr"/>
      <c r="H555" t="inlineStr"/>
    </row>
    <row r="556">
      <c r="A556">
        <f>HYPERLINK("https://www.ebi.ac.uk/ols/ontologies/fbbt/terms?iri=http://purl.obolibrary.org/obo/FBbt_00110581","FBbt:00110581")</f>
        <v/>
      </c>
      <c r="B556" t="inlineStr">
        <is>
          <t>adult fruitless aDT-d (male) neuron</t>
        </is>
      </c>
      <c r="C556" t="inlineStr">
        <is>
          <t>aDT-d neuron; fru-AL neuron; AL1 neuron; aSP12 neuron</t>
        </is>
      </c>
      <c r="D556" t="inlineStr">
        <is>
          <t>Any neuron (FBbt:00005106) that is part of some adult fruitless aDT-d (male) lineage clone (FBbt:00110580) and that is part of some male organism (FBbt:00007004).</t>
        </is>
      </c>
      <c r="E556" t="inlineStr">
        <is>
          <t>Lee et al., 2000, J. Neurobiol. 43(4): 404--426 (flybase.org/reports/FBrf0128543); Kimura et al., 2008, Neuron 59(5): 759--769 (flybase.org/reports/FBrf0205974); Yu et al., 2010, Curr. Biol. 20(18): 1602--1614 (flybase.org/reports/FBrf0211884); Cachero et al., 2010, Curr. Biol. 20(18): 1589--1601 (flybase.org/reports/FBrf0211926)</t>
        </is>
      </c>
      <c r="F556" t="inlineStr"/>
      <c r="G556" t="inlineStr"/>
      <c r="H556" t="inlineStr"/>
    </row>
    <row r="557">
      <c r="A557">
        <f>HYPERLINK("https://www.ebi.ac.uk/ols/ontologies/fbbt/terms?iri=http://purl.obolibrary.org/obo/FBbt_00048255","FBbt:00048255")</f>
        <v/>
      </c>
      <c r="B557" t="inlineStr">
        <is>
          <t>LH-CA neuron of the dopaminergic PPL2ab cluster</t>
        </is>
      </c>
      <c r="C557" t="inlineStr">
        <is>
          <t>None</t>
        </is>
      </c>
      <c r="D557" t="inlineStr">
        <is>
          <t>Adult dopaminergic neuron with a cell body in the PPL2ab cluster. It has major arborization sites in the lateral horn and the mushroom body calyx and is distinct from the vLH-CA neuron.</t>
        </is>
      </c>
      <c r="E557" t="inlineStr">
        <is>
          <t>Xie et al., 2018, Cell Rep. 23(2): 652--665 (flybase.org/reports/FBrf0238545)</t>
        </is>
      </c>
      <c r="F557" t="inlineStr"/>
      <c r="G557" t="inlineStr"/>
      <c r="H557" t="inlineStr"/>
    </row>
    <row r="558">
      <c r="A558">
        <f>HYPERLINK("https://www.ebi.ac.uk/ols/ontologies/fbbt/terms?iri=http://purl.obolibrary.org/obo/FBbt_00110441","FBbt:00110441")</f>
        <v/>
      </c>
      <c r="B558" t="inlineStr">
        <is>
          <t>adult fruitless aIP-f neuron</t>
        </is>
      </c>
      <c r="C558" t="inlineStr">
        <is>
          <t>aIP-f neuron</t>
        </is>
      </c>
      <c r="D558" t="inlineStr">
        <is>
          <t>Any neuron (FBbt:00005106) that is part of some adult fruitless aIP-f lineage clone (FBbt:00110440) and that develops from some neuroblast VPNl&amp;d1 (FBbt:00050012).</t>
        </is>
      </c>
      <c r="E558" t="inlineStr">
        <is>
          <t>Cachero et al., 2010, Curr. Biol. 20(18): 1589--1601 (flybase.org/reports/FBrf0211926); Yu et al., 2013, Curr. Biol. 23(8): 633--643 (flybase.org/reports/FBrf0221412); Ito et al., 2013, Curr. Biol. 23(8): 644--655 (flybase.org/reports/FBrf0221438)</t>
        </is>
      </c>
      <c r="F558" t="inlineStr"/>
      <c r="G558" t="inlineStr"/>
      <c r="H558" t="inlineStr"/>
    </row>
    <row r="559">
      <c r="A559">
        <f>HYPERLINK("https://www.ebi.ac.uk/ols/ontologies/fbbt/terms?iri=http://purl.obolibrary.org/obo/FBbt_00110583","FBbt:00110583")</f>
        <v/>
      </c>
      <c r="B559" t="inlineStr">
        <is>
          <t>adult fruitless aDT-e (male) neuron</t>
        </is>
      </c>
      <c r="C559" t="inlineStr">
        <is>
          <t>fru-AL neuron; aDT-e neuron; AL3 neuron; aDT3 neuron</t>
        </is>
      </c>
      <c r="D559" t="inlineStr">
        <is>
          <t>Any neuron (FBbt:00005106) that is part of some adult fruitless aDT-e (male) lineage clone (FBbt:00110582) and that develops from some neuroblast ALl1 (FBbt:00067347) and that is part of some male organism (FBbt:00007004).</t>
        </is>
      </c>
      <c r="E559" t="inlineStr">
        <is>
          <t>Lee et al., 2000, J. Neurobiol. 43(4): 404--426 (flybase.org/reports/FBrf0128543); Kimura et al., 2008, Neuron 59(5): 759--769 (flybase.org/reports/FBrf0205974); Cachero et al., 2010, Curr. Biol. 20(18): 1589--1601 (flybase.org/reports/FBrf0211926); Yu et al., 2013, Curr. Biol. 23(8): 633--643 (flybase.org/reports/FBrf0221412); Ito et al., 2013, Curr. Biol. 23(8): 644--655 (flybase.org/reports/FBrf0221438)</t>
        </is>
      </c>
      <c r="F559" t="inlineStr"/>
      <c r="G559" t="inlineStr"/>
      <c r="H559" t="inlineStr"/>
    </row>
    <row r="560">
      <c r="A560">
        <f>HYPERLINK("https://www.ebi.ac.uk/ols/ontologies/fbbt/terms?iri=http://purl.obolibrary.org/obo/FBbt_00048254","FBbt:00048254")</f>
        <v/>
      </c>
      <c r="B560" t="inlineStr">
        <is>
          <t>vLH-CA neuron of the dopaminergic PPL2ab cluster</t>
        </is>
      </c>
      <c r="C560" t="inlineStr">
        <is>
          <t>None</t>
        </is>
      </c>
      <c r="D560" t="inlineStr">
        <is>
          <t>Adult dopaminergic neuron with a cell body in the PPL2ab cluster. It has major arborization sites in the ventral lateral horn and the mushroom body calyx.</t>
        </is>
      </c>
      <c r="E560" t="inlineStr">
        <is>
          <t>Xie et al., 2018, Cell Rep. 23(2): 652--665 (flybase.org/reports/FBrf0238545)</t>
        </is>
      </c>
      <c r="F560" t="inlineStr"/>
      <c r="G560" t="inlineStr"/>
      <c r="H560" t="inlineStr"/>
    </row>
    <row r="561">
      <c r="A561">
        <f>HYPERLINK("https://www.ebi.ac.uk/ols/ontologies/fbbt/terms?iri=http://purl.obolibrary.org/obo/FBbt_00048253","FBbt:00048253")</f>
        <v/>
      </c>
      <c r="B561" t="inlineStr">
        <is>
          <t>SLP neuron of the dopaminergic PPL2ab cluster</t>
        </is>
      </c>
      <c r="C561" t="inlineStr">
        <is>
          <t>None</t>
        </is>
      </c>
      <c r="D561" t="inlineStr">
        <is>
          <t>Adult dopaminergic neuron with a cell body in the PPL2ab cluster. It has a major arborization site in the superior lateral protocerebrum.</t>
        </is>
      </c>
      <c r="E561" t="inlineStr">
        <is>
          <t>Xie et al., 2018, Cell Rep. 23(2): 652--665 (flybase.org/reports/FBrf0238545)</t>
        </is>
      </c>
      <c r="F561" t="inlineStr"/>
      <c r="G561" t="inlineStr"/>
      <c r="H561" t="inlineStr"/>
    </row>
    <row r="562">
      <c r="A562">
        <f>HYPERLINK("https://www.ebi.ac.uk/ols/ontologies/fbbt/terms?iri=http://purl.obolibrary.org/obo/FBbt_00007507","FBbt:00007507")</f>
        <v/>
      </c>
      <c r="B562" t="inlineStr">
        <is>
          <t>ring neuron R</t>
        </is>
      </c>
      <c r="C562" t="inlineStr">
        <is>
          <t>LTR-EB; R-neuron; R neuron</t>
        </is>
      </c>
      <c r="D562" t="inlineStr">
        <is>
          <t>Ring neuron whose soma is located in a cluster in the cortex just dorso-lateral to the antennal lobes and ventro-lateral to the lateral accessory lobes (ventral bodies) and which, in addition to forming ring arborizations with bleb-type (Hanesch et al., 1989) presynaptic terminals (Young and Armstrong, 2010) in the ellipsoid body, has a very small, compact arborization of thin (Hanesch et al., 1989) postsynaptic (Young and Armstrong, 2010) fibers in the ipsilateral bulb (lateral triangle). The fibers of these neurons run through the RF-tract. Their soma are very small - similar in size to those of the Kenyon cells.</t>
        </is>
      </c>
      <c r="E562" t="inlineStr">
        <is>
          <t>Hanesch et al., 1989, Cell Tissue Res. 257(2): 343--366 (flybase.org/reports/FBrf0049409); Renn et al., 1999, J. Neurobiol. 41(2): 189--207 (flybase.org/reports/FBrf0111476); Young and Armstrong, 2010, J. Comp. Neurol. 518(9): 1500--1524 (flybase.org/reports/FBrf0210154)</t>
        </is>
      </c>
      <c r="F562" t="inlineStr"/>
      <c r="G562" t="inlineStr"/>
      <c r="H562" t="inlineStr"/>
    </row>
    <row r="563">
      <c r="A563">
        <f>HYPERLINK("https://www.ebi.ac.uk/ols/ontologies/fbbt/terms?iri=http://purl.obolibrary.org/obo/FBbt_00111160","FBbt:00111160")</f>
        <v/>
      </c>
      <c r="B563" t="inlineStr">
        <is>
          <t>adult fruitless pSG1 neuron</t>
        </is>
      </c>
      <c r="C563" t="inlineStr">
        <is>
          <t>pSG1 neuron; fru-SG neuron</t>
        </is>
      </c>
      <c r="D563" t="inlineStr">
        <is>
          <t>Any neuron (FBbt:00005106) that is part of some adult fruitless pSG1 lineage clone (FBbt:00111159).</t>
        </is>
      </c>
      <c r="E563" t="inlineStr">
        <is>
          <t>Yu et al., 2010, Curr. Biol. 20(18): 1602--1614 (flybase.org/reports/FBrf0211884)</t>
        </is>
      </c>
      <c r="F563" t="inlineStr"/>
      <c r="G563" t="inlineStr"/>
      <c r="H563" t="inlineStr"/>
    </row>
    <row r="564">
      <c r="A564">
        <f>HYPERLINK("https://www.ebi.ac.uk/ols/ontologies/fbbt/terms?iri=http://purl.obolibrary.org/obo/FBbt_00111162","FBbt:00111162")</f>
        <v/>
      </c>
      <c r="B564" t="inlineStr">
        <is>
          <t>adult fruitless pSP5 neuron</t>
        </is>
      </c>
      <c r="C564" t="inlineStr">
        <is>
          <t>pSP5 neuron; fru-P neuron</t>
        </is>
      </c>
      <c r="D564" t="inlineStr">
        <is>
          <t>Any neuron (FBbt:00005106) that is part of some adult fruitless pSP5 lineage clone (FBbt:00111161).</t>
        </is>
      </c>
      <c r="E564" t="inlineStr">
        <is>
          <t>Yu et al., 2010, Curr. Biol. 20(18): 1602--1614 (flybase.org/reports/FBrf0211884)</t>
        </is>
      </c>
      <c r="F564" t="inlineStr"/>
      <c r="G564" t="inlineStr"/>
      <c r="H564" t="inlineStr"/>
    </row>
    <row r="565">
      <c r="A565">
        <f>HYPERLINK("https://www.ebi.ac.uk/ols/ontologies/fbbt/terms?iri=http://purl.obolibrary.org/obo/FBbt_00110619","FBbt:00110619")</f>
        <v/>
      </c>
      <c r="B565" t="inlineStr">
        <is>
          <t>adult fruitless pMP-c (male) neuron</t>
        </is>
      </c>
      <c r="C565" t="inlineStr">
        <is>
          <t>pMP-c neuron</t>
        </is>
      </c>
      <c r="D565" t="inlineStr">
        <is>
          <t>Any neuron (FBbt:00005106) that is part of some adult fruitless pMP-c (male) lineage clone (FBbt:00110618) and that develops from some adult DM4 lineage clone (FBbt:00050253) and that is part of some male organism (FBbt:00007004).</t>
        </is>
      </c>
      <c r="E565" t="inlineStr">
        <is>
          <t>Cachero et al., 2010, Curr. Biol. 20(18): 1589--1601 (flybase.org/reports/FBrf0211926)</t>
        </is>
      </c>
      <c r="F565" t="inlineStr"/>
      <c r="G565" t="inlineStr"/>
      <c r="H565" t="inlineStr"/>
    </row>
    <row r="566">
      <c r="A566">
        <f>HYPERLINK("https://www.ebi.ac.uk/ols/ontologies/fbbt/terms?iri=http://purl.obolibrary.org/obo/FBbt_00100513","FBbt:00100513")</f>
        <v/>
      </c>
      <c r="B566" t="inlineStr">
        <is>
          <t>adult epithelial glial cell</t>
        </is>
      </c>
      <c r="C566" t="inlineStr">
        <is>
          <t>None</t>
        </is>
      </c>
      <c r="D566" t="inlineStr">
        <is>
          <t>Epithelial glial cell of the adult. A triad of epithelial glial cells surrounds groups of lamina neurons to form a cartridge (Edwards and Meinertzhagen, 2010). Epithelial glial cells elaborate numerous fine processes into the lamina plexus, especially from the surface juxtaposing the R1-R6 growth cones or axon termini (Poeck et al., 2001). In the lamina, they receive synaptic input from photoreceptors R1-R6, lamina monopolar cell L4 (collaterals from adjacent columns), lamina intrinsic (amacrine) cells, centrifugal cell C3 and lamina wide-field neuron Lawf (Rivera-Alba et al., 2011).</t>
        </is>
      </c>
      <c r="E566" t="inlineStr">
        <is>
          <t>Winberg et al., 1992, Development 115(4): 903--911 (flybase.org/reports/FBrf0055906); Poeck et al., 2001, Neuron 29(1): 99--113 (flybase.org/reports/FBrf0134808); Takemura et al., 2008, J. Comp. Neurol. 509(5): 493--513 (flybase.org/reports/FBrf0205531); Hamanaka and Meinertzhagen, 2010, J. Comp. Neurol. 518(7): 1133--1155 (flybase.org/reports/FBrf0209968); Edwards and Meinertzhagen, 2010, Prog. Neurobiol. 90(4): 471--497 (flybase.org/reports/FBrf0210316)</t>
        </is>
      </c>
      <c r="F566" t="inlineStr"/>
      <c r="G566" t="inlineStr"/>
      <c r="H566" t="inlineStr"/>
    </row>
    <row r="567">
      <c r="A567">
        <f>HYPERLINK("https://www.ebi.ac.uk/ols/ontologies/fbbt/terms?iri=http://purl.obolibrary.org/obo/FBbt_00111290","FBbt:00111290")</f>
        <v/>
      </c>
      <c r="B567" t="inlineStr">
        <is>
          <t>lobula plate tangential neuron Hx</t>
        </is>
      </c>
      <c r="C567" t="inlineStr">
        <is>
          <t>None</t>
        </is>
      </c>
      <c r="D567" t="inlineStr">
        <is>
          <t>A lobula plate tangential neuron whose cell body is found in the cell body rind of lateral neuropils. It arborizes in lobula plate layer 2 and projects contralaterally into the ventrolateral protocerebrum and anterior wedge. This neuron responds to front-to-back and back-to-front motion.</t>
        </is>
      </c>
      <c r="E567" t="inlineStr">
        <is>
          <t>Levy and Larsen, 2013, J. Comp. Neurol. 521(16): 3716--3740 (flybase.org/reports/FBrf0222803); Wasserman et al., 2015, Curr. Biol. 25(4): 467--472 (flybase.org/reports/FBrf0227594)</t>
        </is>
      </c>
      <c r="F567" t="inlineStr"/>
      <c r="G567" t="inlineStr"/>
      <c r="H567" t="inlineStr"/>
    </row>
    <row r="568">
      <c r="A568">
        <f>HYPERLINK("https://www.ebi.ac.uk/ols/ontologies/fbbt/terms?iri=http://purl.obolibrary.org/obo/FBbt_00111166","FBbt:00111166")</f>
        <v/>
      </c>
      <c r="B568" t="inlineStr">
        <is>
          <t>adult fruitless pSP4 neuron</t>
        </is>
      </c>
      <c r="C568" t="inlineStr">
        <is>
          <t>fru-P neuron; pSP4 neuron</t>
        </is>
      </c>
      <c r="D568" t="inlineStr">
        <is>
          <t>Any neuron (FBbt:00005106) that is part of some adult fruitless pSP4 lineage clone (FBbt:00111165).</t>
        </is>
      </c>
      <c r="E568" t="inlineStr">
        <is>
          <t>Yu et al., 2010, Curr. Biol. 20(18): 1602--1614 (flybase.org/reports/FBrf0211884)</t>
        </is>
      </c>
      <c r="F568" t="inlineStr"/>
      <c r="G568" t="inlineStr"/>
      <c r="H568" t="inlineStr"/>
    </row>
    <row r="569">
      <c r="A569">
        <f>HYPERLINK("https://www.ebi.ac.uk/ols/ontologies/fbbt/terms?iri=http://purl.obolibrary.org/obo/FBbt_00110625","FBbt:00110625")</f>
        <v/>
      </c>
      <c r="B569" t="inlineStr">
        <is>
          <t>adult fruitless pSP-b (male) neuron</t>
        </is>
      </c>
      <c r="C569" t="inlineStr">
        <is>
          <t>pSP-b neuron</t>
        </is>
      </c>
      <c r="D569" t="inlineStr">
        <is>
          <t>Any neuron (FBbt:00005106) that is part of some adult fruitless pSP-b (male) lineage clone (FBbt:00110624) and that develops from some neuroblast SLPpl1 (FBbt:00050228) and that is part of some male organism (FBbt:00007004).</t>
        </is>
      </c>
      <c r="E569" t="inlineStr">
        <is>
          <t>Cachero et al., 2010, Curr. Biol. 20(18): 1589--1601 (flybase.org/reports/FBrf0211926); Yu et al., 2013, Curr. Biol. 23(8): 633--643 (flybase.org/reports/FBrf0221412); Ito et al., 2013, Curr. Biol. 23(8): 644--655 (flybase.org/reports/FBrf0221438)</t>
        </is>
      </c>
      <c r="F569" t="inlineStr"/>
      <c r="G569" t="inlineStr"/>
      <c r="H569" t="inlineStr"/>
    </row>
    <row r="570">
      <c r="A570">
        <f>HYPERLINK("https://www.ebi.ac.uk/ols/ontologies/fbbt/terms?iri=http://purl.obolibrary.org/obo/FBbt_00110537","FBbt:00110537")</f>
        <v/>
      </c>
      <c r="B570" t="inlineStr">
        <is>
          <t>adult fruitless aDT1 neuron</t>
        </is>
      </c>
      <c r="C570" t="inlineStr">
        <is>
          <t>aDT1 neuron; fru-mAL neuron</t>
        </is>
      </c>
      <c r="D570" t="inlineStr">
        <is>
          <t>Any neuron (FBbt:00005106) that is part of some adult fruitless aDT1 lineage clone (FBbt:00110536).</t>
        </is>
      </c>
      <c r="E570" t="inlineStr">
        <is>
          <t>Lee et al., 2000, J. Neurobiol. 43(4): 404--426 (flybase.org/reports/FBrf0128543); Yu et al., 2010, Curr. Biol. 20(18): 1602--1614 (flybase.org/reports/FBrf0211884)</t>
        </is>
      </c>
      <c r="F570" t="inlineStr"/>
      <c r="G570" t="inlineStr"/>
      <c r="H570" t="inlineStr"/>
    </row>
    <row r="571">
      <c r="A571">
        <f>HYPERLINK("https://www.ebi.ac.uk/ols/ontologies/fbbt/terms?iri=http://purl.obolibrary.org/obo/FBbt_00048252","FBbt:00048252")</f>
        <v/>
      </c>
      <c r="B571" t="inlineStr">
        <is>
          <t>bSMP-gamma neuron of the dopaminergic PPL1 cluster</t>
        </is>
      </c>
      <c r="C571" t="inlineStr">
        <is>
          <t>None</t>
        </is>
      </c>
      <c r="D571" t="inlineStr">
        <is>
          <t>Bilateral MB-SV neuron that has terminals in the mushroom body gamma lobe and the superior medial protocerebrum, in addition to the area surrounding the vertical lobe.</t>
        </is>
      </c>
      <c r="E571" t="inlineStr">
        <is>
          <t>Xie et al., 2018, Cell Rep. 23(2): 652--665 (flybase.org/reports/FBrf0238545)</t>
        </is>
      </c>
      <c r="F571" t="inlineStr"/>
      <c r="G571" t="inlineStr"/>
      <c r="H571" t="inlineStr"/>
    </row>
    <row r="572">
      <c r="A572">
        <f>HYPERLINK("https://www.ebi.ac.uk/ols/ontologies/fbbt/terms?iri=http://purl.obolibrary.org/obo/FBbt_00110539","FBbt:00110539")</f>
        <v/>
      </c>
      <c r="B572" t="inlineStr">
        <is>
          <t>adult fruitless aDT4 neuron</t>
        </is>
      </c>
      <c r="C572" t="inlineStr">
        <is>
          <t>aDT4 neuron; fru-AL neuron</t>
        </is>
      </c>
      <c r="D572" t="inlineStr">
        <is>
          <t>Any neuron (FBbt:00005106) that is part of some adult fruitless aDT4 lineage clone (FBbt:00110538).</t>
        </is>
      </c>
      <c r="E572" t="inlineStr">
        <is>
          <t>Lee et al., 2000, J. Neurobiol. 43(4): 404--426 (flybase.org/reports/FBrf0128543); Yu et al., 2010, Curr. Biol. 20(18): 1602--1614 (flybase.org/reports/FBrf0211884)</t>
        </is>
      </c>
      <c r="F572" t="inlineStr"/>
      <c r="G572" t="inlineStr"/>
      <c r="H572" t="inlineStr"/>
    </row>
    <row r="573">
      <c r="A573">
        <f>HYPERLINK("https://www.ebi.ac.uk/ols/ontologies/fbbt/terms?iri=http://purl.obolibrary.org/obo/FBbt_00007404","FBbt:00007404")</f>
        <v/>
      </c>
      <c r="B573" t="inlineStr">
        <is>
          <t>adult oligo-glomerular local interneuron of the lateral AL neuroblast</t>
        </is>
      </c>
      <c r="C573" t="inlineStr">
        <is>
          <t>oligo-glomerular lLN</t>
        </is>
      </c>
      <c r="D573" t="inlineStr">
        <is>
          <t>Local interneuron of the adult antennal lobe that is derived from the lateral AL neuroblast lineage and that innervates only some of the adult antennal lobe glomeruli.</t>
        </is>
      </c>
      <c r="E573" t="inlineStr">
        <is>
          <t>Das et al., 2008, Neural Dev. 3: 33 (flybase.org/reports/FBrf0207001)</t>
        </is>
      </c>
      <c r="F573" t="inlineStr"/>
      <c r="G573" t="inlineStr"/>
      <c r="H573" t="inlineStr"/>
    </row>
    <row r="574">
      <c r="A574">
        <f>HYPERLINK("https://www.ebi.ac.uk/ols/ontologies/fbbt/terms?iri=http://purl.obolibrary.org/obo/FBbt_00048251","FBbt:00048251")</f>
        <v/>
      </c>
      <c r="B574" t="inlineStr">
        <is>
          <t>SMP-gamma neuron of the dopaminergic PPL1 cluster</t>
        </is>
      </c>
      <c r="C574" t="inlineStr">
        <is>
          <t>None</t>
        </is>
      </c>
      <c r="D574" t="inlineStr">
        <is>
          <t>Unilateral MB-SV neuron that has terminals in the mushroom body gamma lobe and the superior medial protocerebrum, in addition to the area surrounding the vertical lobe.</t>
        </is>
      </c>
      <c r="E574" t="inlineStr">
        <is>
          <t>Xie et al., 2018, Cell Rep. 23(2): 652--665 (flybase.org/reports/FBrf0238545)</t>
        </is>
      </c>
      <c r="F574" t="inlineStr"/>
      <c r="G574" t="inlineStr"/>
      <c r="H574" t="inlineStr"/>
    </row>
    <row r="575">
      <c r="A575">
        <f>HYPERLINK("https://www.ebi.ac.uk/ols/ontologies/fbbt/terms?iri=http://purl.obolibrary.org/obo/FBbt_00048250","FBbt:00048250")</f>
        <v/>
      </c>
      <c r="B575" t="inlineStr">
        <is>
          <t>SMP-PED neuron of the dopaminergic PPL1 cluster</t>
        </is>
      </c>
      <c r="C575" t="inlineStr">
        <is>
          <t>None</t>
        </is>
      </c>
      <c r="D575" t="inlineStr">
        <is>
          <t>MB-SV neuron that has terminals in the mushroom body pedunculus and the superior medial protocerebrum, in addition to the area surrounding the vertical lobe.</t>
        </is>
      </c>
      <c r="E575" t="inlineStr">
        <is>
          <t>Xie et al., 2018, Cell Rep. 23(2): 652--665 (flybase.org/reports/FBrf0238545)</t>
        </is>
      </c>
      <c r="F575" t="inlineStr"/>
      <c r="G575" t="inlineStr"/>
      <c r="H575" t="inlineStr"/>
    </row>
    <row r="576">
      <c r="A576">
        <f>HYPERLINK("https://www.ebi.ac.uk/ols/ontologies/fbbt/terms?iri=http://purl.obolibrary.org/obo/FBbt_00047740","FBbt:00047740")</f>
        <v/>
      </c>
      <c r="B576" t="inlineStr">
        <is>
          <t>VMNP-LO neuron of the dopaminergic PAL cluster</t>
        </is>
      </c>
      <c r="C576" t="inlineStr">
        <is>
          <t>None</t>
        </is>
      </c>
      <c r="D576" t="inlineStr">
        <is>
          <t>Adult dopaminergic neuron with a cell body in the PAL cluster. It has major arborization sites in the ventromedial neuropils and the lobula.</t>
        </is>
      </c>
      <c r="E576" t="inlineStr">
        <is>
          <t>Xie et al., 2018, Cell Rep. 23(2): 652--665 (flybase.org/reports/FBrf0238545)</t>
        </is>
      </c>
      <c r="F576" t="inlineStr"/>
      <c r="G576" t="inlineStr"/>
      <c r="H576" t="inlineStr"/>
    </row>
    <row r="577">
      <c r="A577">
        <f>HYPERLINK("https://www.ebi.ac.uk/ols/ontologies/fbbt/terms?iri=http://purl.obolibrary.org/obo/FBbt_00110449","FBbt:00110449")</f>
        <v/>
      </c>
      <c r="B577" t="inlineStr">
        <is>
          <t>adult fruitless aSP-a (female) neuron</t>
        </is>
      </c>
      <c r="C577" t="inlineStr">
        <is>
          <t>aSP2 neuron; fru-aSP2 neuron; aSP-a neuron</t>
        </is>
      </c>
      <c r="D577" t="inlineStr">
        <is>
          <t>Any neuron (FBbt:00005106) that is part of some adult fruitless aSP-a (female) lineage clone (FBbt:00110448) and that develops from some neuroblast SMPad1 (female) (FBbt:00050041).</t>
        </is>
      </c>
      <c r="E577" t="inlineStr">
        <is>
          <t>Lee et al., 2000, J. Neurobiol. 43(4): 404--426 (flybase.org/reports/FBrf0128543); Kimura et al., 2008, Neuron 59(5): 759--769 (flybase.org/reports/FBrf0205974); Yu et al., 2010, Curr. Biol. 20(18): 1602--1614 (flybase.org/reports/FBrf0211884); Cachero et al., 2010, Curr. Biol. 20(18): 1589--1601 (flybase.org/reports/FBrf0211926); Yu et al., 2013, Curr. Biol. 23(8): 633--643 (flybase.org/reports/FBrf0221412); Ito et al., 2013, Curr. Biol. 23(8): 644--655 (flybase.org/reports/FBrf0221438)</t>
        </is>
      </c>
      <c r="F577" t="inlineStr"/>
      <c r="G577" t="inlineStr"/>
      <c r="H577" t="inlineStr"/>
    </row>
    <row r="578">
      <c r="A578">
        <f>HYPERLINK("https://www.ebi.ac.uk/ols/ontologies/fbbt/terms?iri=http://purl.obolibrary.org/obo/FBbt_00110489","FBbt:00110489")</f>
        <v/>
      </c>
      <c r="B578" t="inlineStr">
        <is>
          <t>adult fruitless pIP-f neuron</t>
        </is>
      </c>
      <c r="C578" t="inlineStr">
        <is>
          <t>pIP-f neuron</t>
        </is>
      </c>
      <c r="D578" t="inlineStr">
        <is>
          <t>Any neuron (FBbt:00005106) that is part of some adult fruitless pIP-f lineage clone (FBbt:00110488).</t>
        </is>
      </c>
      <c r="E578" t="inlineStr">
        <is>
          <t>Cachero et al., 2010, Curr. Biol. 20(18): 1589--1601 (flybase.org/reports/FBrf0211926)</t>
        </is>
      </c>
      <c r="F578" t="inlineStr"/>
      <c r="G578" t="inlineStr"/>
      <c r="H578" t="inlineStr"/>
    </row>
    <row r="579">
      <c r="A579">
        <f>HYPERLINK("https://www.ebi.ac.uk/ols/ontologies/fbbt/terms?iri=http://purl.obolibrary.org/obo/FBbt_00110443","FBbt:00110443")</f>
        <v/>
      </c>
      <c r="B579" t="inlineStr">
        <is>
          <t>adult fruitless aIP-g (female) neuron</t>
        </is>
      </c>
      <c r="C579" t="inlineStr">
        <is>
          <t>pIP6 neuron; aIP-g neuron; pIP4 neuron</t>
        </is>
      </c>
      <c r="D579" t="inlineStr">
        <is>
          <t>Any neuron (FBbt:00005106) that is part of some adult fruitless aIP-g (female) lineage clone (FBbt:00110442) and that develops from some neuroblast VLPl&amp;p1 (FBbt:00050065) and that is part of some female organism (FBbt:00007011).</t>
        </is>
      </c>
      <c r="E579" t="inlineStr">
        <is>
          <t>Yu et al., 2010, Curr. Biol. 20(18): 1602--1614 (flybase.org/reports/FBrf0211884); Cachero et al., 2010, Curr. Biol. 20(18): 1589--1601 (flybase.org/reports/FBrf0211926); Yu et al., 2013, Curr. Biol. 23(8): 633--643 (flybase.org/reports/FBrf0221412); Ito et al., 2013, Curr. Biol. 23(8): 644--655 (flybase.org/reports/FBrf0221438)</t>
        </is>
      </c>
      <c r="F579" t="inlineStr"/>
      <c r="G579" t="inlineStr"/>
      <c r="H579" t="inlineStr"/>
    </row>
    <row r="580">
      <c r="A580">
        <f>HYPERLINK("https://www.ebi.ac.uk/ols/ontologies/fbbt/terms?iri=http://purl.obolibrary.org/obo/FBbt_00110531","FBbt:00110531")</f>
        <v/>
      </c>
      <c r="B580" t="inlineStr">
        <is>
          <t>adult fruitless pSP-d neuron</t>
        </is>
      </c>
      <c r="C580" t="inlineStr">
        <is>
          <t>aSP3b1 neuron; pSP-d neuron; fru-aSP3 neuron</t>
        </is>
      </c>
      <c r="D580" t="inlineStr">
        <is>
          <t>Any neuron (FBbt:00005106) that is part of some adult fruitless pSP-d lineage clone (FBbt:00110530).</t>
        </is>
      </c>
      <c r="E580" t="inlineStr">
        <is>
          <t>Lee et al., 2000, J. Neurobiol. 43(4): 404--426 (flybase.org/reports/FBrf0128543); Kimura et al., 2008, Neuron 59(5): 759--769 (flybase.org/reports/FBrf0205974); Cachero et al., 2010, Curr. Biol. 20(18): 1589--1601 (flybase.org/reports/FBrf0211926); Yu et al., 2013, Curr. Biol. 23(8): 633--643 (flybase.org/reports/FBrf0221412); Ito et al., 2013, Curr. Biol. 23(8): 644--655 (flybase.org/reports/FBrf0221438)</t>
        </is>
      </c>
      <c r="F580" t="inlineStr"/>
      <c r="G580" t="inlineStr"/>
      <c r="H580" t="inlineStr"/>
    </row>
    <row r="581">
      <c r="A581">
        <f>HYPERLINK("https://www.ebi.ac.uk/ols/ontologies/fbbt/terms?iri=http://purl.obolibrary.org/obo/FBbt_00110587","FBbt:00110587")</f>
        <v/>
      </c>
      <c r="B581" t="inlineStr">
        <is>
          <t>adult fruitless aIP-c (male) neuron</t>
        </is>
      </c>
      <c r="C581" t="inlineStr">
        <is>
          <t>AL5b neuron; fru-AL neuron; aIP1 neuron; AL6b neuron; aIP-c neuron; aIP4 neuron</t>
        </is>
      </c>
      <c r="D581" t="inlineStr">
        <is>
          <t>Any neuron (FBbt:00005106) that is part of some adult fruitless aIP-c (male) lineage clone (FBbt:00110586) and that develops from some neuroblast VLPl&amp;d1 (FBbt:00050074) and that is part of some male organism (FBbt:00007004).</t>
        </is>
      </c>
      <c r="E581" t="inlineStr">
        <is>
          <t>Lee et al., 2000, J. Neurobiol. 43(4): 404--426 (flybase.org/reports/FBrf0128543); Kimura et al., 2008, Neuron 59(5): 759--769 (flybase.org/reports/FBrf0205974); Cachero et al., 2010, Curr. Biol. 20(18): 1589--1601 (flybase.org/reports/FBrf0211926); Yu et al., 2013, Curr. Biol. 23(8): 633--643 (flybase.org/reports/FBrf0221412); Ito et al., 2013, Curr. Biol. 23(8): 644--655 (flybase.org/reports/FBrf0221438)</t>
        </is>
      </c>
      <c r="F581" t="inlineStr"/>
      <c r="G581" t="inlineStr"/>
      <c r="H581" t="inlineStr"/>
    </row>
    <row r="582">
      <c r="A582">
        <f>HYPERLINK("https://www.ebi.ac.uk/ols/ontologies/fbbt/terms?iri=http://purl.obolibrary.org/obo/FBbt_00110433","FBbt:00110433")</f>
        <v/>
      </c>
      <c r="B582" t="inlineStr">
        <is>
          <t>adult fruitless aIP-b (female) neuron</t>
        </is>
      </c>
      <c r="C582" t="inlineStr">
        <is>
          <t>aIP-b neuron</t>
        </is>
      </c>
      <c r="D582" t="inlineStr">
        <is>
          <t>Any neuron (FBbt:00005106) that is part of some adult fruitless aIP-b (female) lineage clone (FBbt:00110432) and that develops from some neuroblast VLPa1 (FBbt:00050157) and that is part of some female organism (FBbt:00007011).</t>
        </is>
      </c>
      <c r="E582" t="inlineStr">
        <is>
          <t>Cachero et al., 2010, Curr. Biol. 20(18): 1589--1601 (flybase.org/reports/FBrf0211926); Yu et al., 2013, Curr. Biol. 23(8): 633--643 (flybase.org/reports/FBrf0221412); Ito et al., 2013, Curr. Biol. 23(8): 644--655 (flybase.org/reports/FBrf0221438)</t>
        </is>
      </c>
      <c r="F582" t="inlineStr"/>
      <c r="G582" t="inlineStr"/>
      <c r="H582" t="inlineStr"/>
    </row>
    <row r="583">
      <c r="A583">
        <f>HYPERLINK("https://www.ebi.ac.uk/ols/ontologies/fbbt/terms?iri=http://purl.obolibrary.org/obo/FBbt_00110579","FBbt:00110579")</f>
        <v/>
      </c>
      <c r="B583" t="inlineStr">
        <is>
          <t>adult fruitless aDT-b (male) neuron</t>
        </is>
      </c>
      <c r="C583" t="inlineStr">
        <is>
          <t>fru-mAL neuron; aDT2 neuron; mAL neuron; aDT-b neuron</t>
        </is>
      </c>
      <c r="D583" t="inlineStr">
        <is>
          <t>Any neuron (FBbt:00005106) that is part of some adult fruitless aDT-b (male) lineage clone (FBbt:00110578) and that develops from some neuroblast CREa1 (male) (FBbt:00050246).</t>
        </is>
      </c>
      <c r="E583" t="inlineStr">
        <is>
          <t>Lee et al., 2000, J. Neurobiol. 43(4): 404--426 (flybase.org/reports/FBrf0128543); Kimura et al., 2008, Neuron 59(5): 759--769 (flybase.org/reports/FBrf0205974); Yu et al., 2010, Curr. Biol. 20(18): 1602--1614 (flybase.org/reports/FBrf0211884); Cachero et al., 2010, Curr. Biol. 20(18): 1589--1601 (flybase.org/reports/FBrf0211926); Yu et al., 2013, Curr. Biol. 23(8): 633--643 (flybase.org/reports/FBrf0221412); Ito et al., 2013, Curr. Biol. 23(8): 644--655 (flybase.org/reports/FBrf0221438)</t>
        </is>
      </c>
      <c r="F583" t="inlineStr"/>
      <c r="G583" t="inlineStr"/>
      <c r="H583" t="inlineStr"/>
    </row>
    <row r="584">
      <c r="A584">
        <f>HYPERLINK("https://www.ebi.ac.uk/ols/ontologies/fbbt/terms?iri=http://purl.obolibrary.org/obo/FBbt_00003838","FBbt:00003838")</f>
        <v/>
      </c>
      <c r="B584" t="inlineStr">
        <is>
          <t>medullary tangential neuron Mt2</t>
        </is>
      </c>
      <c r="C584" t="inlineStr">
        <is>
          <t>Mt2</t>
        </is>
      </c>
      <c r="D584" t="inlineStr">
        <is>
          <t>Medullary tangential neuron with a giant projection that extends across the anterior-posterior length of medulla layer 10, with some bleb-type arborizations here. It extensively arborizes with both fine and bleb-type arborizations throughout the whole of medulla layer M8, and occasionally crosses into layer M9. It displays both fine and bleb-type arborizations in medulla layers M3, M5 and M6.</t>
        </is>
      </c>
      <c r="E584" t="inlineStr">
        <is>
          <t>Fischbach and Dittrich, 1989, Cell Tissue Res. 258(3): 441--475 (flybase.org/reports/FBrf0049410)</t>
        </is>
      </c>
      <c r="F584" t="inlineStr"/>
      <c r="G584" t="inlineStr"/>
      <c r="H584" t="inlineStr"/>
    </row>
    <row r="585">
      <c r="A585">
        <f>HYPERLINK("https://www.ebi.ac.uk/ols/ontologies/fbbt/terms?iri=http://purl.obolibrary.org/obo/FBbt_00110585","FBbt:00110585")</f>
        <v/>
      </c>
      <c r="B585" t="inlineStr">
        <is>
          <t>adult fruitless aIP-b (male) neuron</t>
        </is>
      </c>
      <c r="C585" t="inlineStr">
        <is>
          <t>aIP-b neuron</t>
        </is>
      </c>
      <c r="D585" t="inlineStr">
        <is>
          <t>Any neuron (FBbt:00005106) that is part of some adult fruitless aIP-b (male) lineage clone (FBbt:00110584) and that develops from some neuroblast VLPa1 (FBbt:00050157) and that is part of some male organism (FBbt:00007004).</t>
        </is>
      </c>
      <c r="E585" t="inlineStr">
        <is>
          <t>Cachero et al., 2010, Curr. Biol. 20(18): 1589--1601 (flybase.org/reports/FBrf0211926); Yu et al., 2013, Curr. Biol. 23(8): 633--643 (flybase.org/reports/FBrf0221412); Ito et al., 2013, Curr. Biol. 23(8): 644--655 (flybase.org/reports/FBrf0221438)</t>
        </is>
      </c>
      <c r="F585" t="inlineStr"/>
      <c r="G585" t="inlineStr"/>
      <c r="H585" t="inlineStr"/>
    </row>
    <row r="586">
      <c r="A586">
        <f>HYPERLINK("https://www.ebi.ac.uk/ols/ontologies/fbbt/terms?iri=http://purl.obolibrary.org/obo/FBbt_00111767","FBbt:00111767")</f>
        <v/>
      </c>
      <c r="B586" t="inlineStr">
        <is>
          <t>lobula plate columnar neuron LPC1</t>
        </is>
      </c>
      <c r="C586" t="inlineStr">
        <is>
          <t>None</t>
        </is>
      </c>
      <c r="D586" t="inlineStr">
        <is>
          <t>An extrinsic lobula plate columnar neuron whose cell body lies in the lobula plate cell body rind. It has its main arbors in lobula plate layer 2. It projects to a small glomerulus in the posterior region of the optic glomeruli of the PVLP, posterior to LC4 and ventral to LPLC3.</t>
        </is>
      </c>
      <c r="E586" t="inlineStr">
        <is>
          <t>Panser et al., 2016, Curr. Biol. 26(15): 1943--1954 (flybase.org/reports/FBrf0233032); Wu et al., 2016, eLife 5: e21022 (flybase.org/reports/FBrf0234700)</t>
        </is>
      </c>
      <c r="F586" t="inlineStr"/>
      <c r="G586" t="inlineStr"/>
      <c r="H586" t="inlineStr"/>
    </row>
    <row r="587">
      <c r="A587">
        <f>HYPERLINK("https://www.ebi.ac.uk/ols/ontologies/fbbt/terms?iri=http://purl.obolibrary.org/obo/FBbt_00003839","FBbt:00003839")</f>
        <v/>
      </c>
      <c r="B587" t="inlineStr">
        <is>
          <t>medullary tangential neuron Mt3</t>
        </is>
      </c>
      <c r="C587" t="inlineStr">
        <is>
          <t>Mt3</t>
        </is>
      </c>
      <c r="D587" t="inlineStr">
        <is>
          <t>Medullary tangential neuron which extends superficially throughout the anterior-posterior expanse of the distal medulla. It shows both fine and bleb-like arborizations throughout medulla layers M1, M2 and M3 (Morante and Desplan, 2008; Fischbach and Dittrich, 1989).</t>
        </is>
      </c>
      <c r="E587" t="inlineStr">
        <is>
          <t>Fischbach and Dittrich, 1989, Cell Tissue Res. 258(3): 441--475 (flybase.org/reports/FBrf0049410); Morante and Desplan, 2008, Curr. Biol. 18(8): 553--565 (flybase.org/reports/FBrf0204652)</t>
        </is>
      </c>
      <c r="F587" t="inlineStr"/>
      <c r="G587" t="inlineStr"/>
      <c r="H587" t="inlineStr"/>
    </row>
    <row r="588">
      <c r="A588">
        <f>HYPERLINK("https://www.ebi.ac.uk/ols/ontologies/fbbt/terms?iri=http://purl.obolibrary.org/obo/FBbt_00003837","FBbt:00003837")</f>
        <v/>
      </c>
      <c r="B588" t="inlineStr">
        <is>
          <t>medullary tangential neuron Mt1</t>
        </is>
      </c>
      <c r="C588" t="inlineStr">
        <is>
          <t>Mt1</t>
        </is>
      </c>
      <c r="D588" t="inlineStr">
        <is>
          <t>Neuron with a giant projection that extends along the serpentine layer sending out collaterals that arborize in medulla layers M4 to M9. It is a GABAergic neuron.</t>
        </is>
      </c>
      <c r="E588" t="inlineStr">
        <is>
          <t>Fischbach and Dittrich, 1989, Cell Tissue Res. 258(3): 441--475 (flybase.org/reports/FBrf0049410); Raghu et al., 2013, J. Comp. Neurol. 521(1): 252--265 (flybase.org/reports/FBrf0220286)</t>
        </is>
      </c>
      <c r="F588" t="inlineStr"/>
      <c r="G588" t="inlineStr"/>
      <c r="H588" t="inlineStr"/>
    </row>
    <row r="589">
      <c r="A589">
        <f>HYPERLINK("https://www.ebi.ac.uk/ols/ontologies/fbbt/terms?iri=http://purl.obolibrary.org/obo/FBbt_00110593","FBbt:00110593")</f>
        <v/>
      </c>
      <c r="B589" t="inlineStr">
        <is>
          <t>adult fruitless aIP-g (male) neuron</t>
        </is>
      </c>
      <c r="C589" t="inlineStr">
        <is>
          <t>pIP4 neuron; aIP-g neuron; pIP6 neuron</t>
        </is>
      </c>
      <c r="D589" t="inlineStr">
        <is>
          <t>Any neuron (FBbt:00005106) that is part of some adult fruitless aIP-g (male) lineage clone (FBbt:00110592) and that develops from some neuroblast VLPl&amp;p1 (FBbt:00050065) and that is part of some male organism (FBbt:00007004).</t>
        </is>
      </c>
      <c r="E589" t="inlineStr">
        <is>
          <t>Yu et al., 2010, Curr. Biol. 20(18): 1602--1614 (flybase.org/reports/FBrf0211884); Cachero et al., 2010, Curr. Biol. 20(18): 1589--1601 (flybase.org/reports/FBrf0211926); Yu et al., 2013, Curr. Biol. 23(8): 633--643 (flybase.org/reports/FBrf0221412); Ito et al., 2013, Curr. Biol. 23(8): 644--655 (flybase.org/reports/FBrf0221438)</t>
        </is>
      </c>
      <c r="F589" t="inlineStr"/>
      <c r="G589" t="inlineStr"/>
      <c r="H589" t="inlineStr"/>
    </row>
    <row r="590">
      <c r="A590">
        <f>HYPERLINK("https://www.ebi.ac.uk/ols/ontologies/fbbt/terms?iri=http://purl.obolibrary.org/obo/FBbt_00110529","FBbt:00110529")</f>
        <v/>
      </c>
      <c r="B590" t="inlineStr">
        <is>
          <t>adult fruitless aIP5 neuron</t>
        </is>
      </c>
      <c r="C590" t="inlineStr">
        <is>
          <t>fru-AL neuron; aIP5 neuron</t>
        </is>
      </c>
      <c r="D590" t="inlineStr">
        <is>
          <t>Any neuron (FBbt:00005106) that is part of some adult fruitless aIP5 lineage clone (FBbt:00110528).</t>
        </is>
      </c>
      <c r="E590" t="inlineStr">
        <is>
          <t>Lee et al., 2000, J. Neurobiol. 43(4): 404--426 (flybase.org/reports/FBrf0128543); Yu et al., 2010, Curr. Biol. 20(18): 1602--1614 (flybase.org/reports/FBrf0211884)</t>
        </is>
      </c>
      <c r="F590" t="inlineStr"/>
      <c r="G590" t="inlineStr"/>
      <c r="H590" t="inlineStr"/>
    </row>
    <row r="591">
      <c r="A591">
        <f>HYPERLINK("https://www.ebi.ac.uk/ols/ontologies/fbbt/terms?iri=http://purl.obolibrary.org/obo/FBbt_00110113","FBbt:00110113")</f>
        <v/>
      </c>
      <c r="B591" t="inlineStr">
        <is>
          <t>antennal mechanosensory and motor center B projection neuron</t>
        </is>
      </c>
      <c r="C591" t="inlineStr">
        <is>
          <t>AMMC-B PN; AMMC-B neuron</t>
        </is>
      </c>
      <c r="D591" t="inlineStr">
        <is>
          <t>Projection neuron that receives input in the antennal mechanosensory and motor center (AMMC) zone B.</t>
        </is>
      </c>
      <c r="E591" t="inlineStr"/>
      <c r="F591" t="inlineStr"/>
      <c r="G591" t="inlineStr"/>
      <c r="H591" t="inlineStr"/>
    </row>
    <row r="592">
      <c r="A592">
        <f>HYPERLINK("https://www.ebi.ac.uk/ols/ontologies/fbbt/terms?iri=http://purl.obolibrary.org/obo/FBbt_00111770","FBbt:00111770")</f>
        <v/>
      </c>
      <c r="B592" t="inlineStr">
        <is>
          <t>medulla columnar neuron VPN-MB2</t>
        </is>
      </c>
      <c r="C592" t="inlineStr">
        <is>
          <t>None</t>
        </is>
      </c>
      <c r="D592" t="inlineStr">
        <is>
          <t>A medulla columnar neuron whose cell body is located on the lateral surface of the medulla cell body rind. It mainly arborizes in the ventral medulla, in layer 7. It also projects to the ventral accessory calyx (Vogt et al., 2016) via an optic lobe-calycal tract (Yagi et al., 2016).</t>
        </is>
      </c>
      <c r="E592" t="inlineStr">
        <is>
          <t>Vogt et al., 2016, eLife 5: e14009 (flybase.org/reports/FBrf0232492); Yagi et al., 2016, Sci. Rep. 6: 29481 (flybase.org/reports/FBrf0232885)</t>
        </is>
      </c>
      <c r="F592" t="inlineStr"/>
      <c r="G592" t="inlineStr"/>
      <c r="H592" t="inlineStr"/>
    </row>
    <row r="593">
      <c r="A593">
        <f>HYPERLINK("https://www.ebi.ac.uk/ols/ontologies/fbbt/terms?iri=http://purl.obolibrary.org/obo/FBbt_00110521","FBbt:00110521")</f>
        <v/>
      </c>
      <c r="B593" t="inlineStr">
        <is>
          <t>adult fruitless pSG-e neuron</t>
        </is>
      </c>
      <c r="C593" t="inlineStr">
        <is>
          <t>fru-SG neuron; pSG-e neuron</t>
        </is>
      </c>
      <c r="D593" t="inlineStr">
        <is>
          <t>Any neuron (FBbt:00005106) that is part of some adult fruitless pSG-e lineage clone (FBbt:00110520).</t>
        </is>
      </c>
      <c r="E593" t="inlineStr">
        <is>
          <t>Lee et al., 2000, J. Neurobiol. 43(4): 404--426 (flybase.org/reports/FBrf0128543); Cachero et al., 2010, Curr. Biol. 20(18): 1589--1601 (flybase.org/reports/FBrf0211926)</t>
        </is>
      </c>
      <c r="F593" t="inlineStr"/>
      <c r="G593" t="inlineStr"/>
      <c r="H593" t="inlineStr"/>
    </row>
    <row r="594">
      <c r="A594">
        <f>HYPERLINK("https://www.ebi.ac.uk/ols/ontologies/fbbt/terms?iri=http://purl.obolibrary.org/obo/FBbt_00111190","FBbt:00111190")</f>
        <v/>
      </c>
      <c r="B594" t="inlineStr">
        <is>
          <t>adult fruitless aSG1 neuron</t>
        </is>
      </c>
      <c r="C594" t="inlineStr">
        <is>
          <t>aSG1 neuron; fru-SG neuron</t>
        </is>
      </c>
      <c r="D594" t="inlineStr">
        <is>
          <t>Any neuron (FBbt:00005106) that is part of some adult fruitless aSG1 lineage clone (FBbt:00111189).</t>
        </is>
      </c>
      <c r="E594" t="inlineStr">
        <is>
          <t>Yu et al., 2010, Curr. Biol. 20(18): 1602--1614 (flybase.org/reports/FBrf0211884)</t>
        </is>
      </c>
      <c r="F594" t="inlineStr"/>
      <c r="G594" t="inlineStr"/>
      <c r="H594" t="inlineStr"/>
    </row>
    <row r="595">
      <c r="A595">
        <f>HYPERLINK("https://www.ebi.ac.uk/ols/ontologies/fbbt/terms?iri=http://purl.obolibrary.org/obo/FBbt_00007516","FBbt:00007516")</f>
        <v/>
      </c>
      <c r="B595" t="inlineStr">
        <is>
          <t>vertical system neuron</t>
        </is>
      </c>
      <c r="C595" t="inlineStr">
        <is>
          <t>VS neuron; VS</t>
        </is>
      </c>
      <c r="D595" t="inlineStr">
        <is>
          <t>Giant neuron of the lobula plate with a dendritic arbor that extends along the dorsal-ventral axis of the lobula plate and an axon terminal projecting to the protocerebral region (Scott et al., 2002). It receives synaptic input both in lobula plate layer 4, from LPi3-4, and in the protocerebrum. It has its synaptic output in the latter (Raghu et al., 2007). They innervate both the superior and inferior, posterior slope (Boergens et al., 2018). Cells of this class are involved in the optomotor response (Joesch et al., 2008) and exhibit directionally selective responses during the presentation of vertically moving periodic gratings. Each VS cell possesses its distinct receptive field (Joesch et al., 2008).</t>
        </is>
      </c>
      <c r="E595" t="inlineStr">
        <is>
          <t>Heisenberg et al., 1978, J. Comp. Physiol. 124(4): 287--296 (flybase.org/reports/FBrf0032046); Scott et al., 2002, J. Comp. Neurol. 454(4): 470--481 (flybase.org/reports/FBrf0155898); Raghu et al., 2007, J. Comp. Neurol. 502(4): 598--610 (flybase.org/reports/FBrf0200428); Joesch et al., 2008, Curr. Biol. 18(5): 368--374 (flybase.org/reports/FBrf0204334); Raghu et al., 2009, J. Neurogenet. 23(1): 200--209 (flybase.org/reports/FBrf0207482); Mauss et al., 2015, Cell 162(2): 351--362 (flybase.org/reports/FBrf0228988)</t>
        </is>
      </c>
      <c r="F595" t="inlineStr"/>
      <c r="G595" t="inlineStr"/>
      <c r="H595" t="inlineStr"/>
    </row>
    <row r="596">
      <c r="A596">
        <f>HYPERLINK("https://www.ebi.ac.uk/ols/ontologies/fbbt/terms?iri=http://purl.obolibrary.org/obo/FBbt_00100501","FBbt:00100501")</f>
        <v/>
      </c>
      <c r="B596" t="inlineStr">
        <is>
          <t>adult cell body glial cell</t>
        </is>
      </c>
      <c r="C596" t="inlineStr">
        <is>
          <t>cortex glial cell; adult cortex associated glial cell</t>
        </is>
      </c>
      <c r="D596" t="inlineStr">
        <is>
          <t>Glial cell of the adult that is associated with the cell body rind of the brain. They have multiple lamelliform processes that intercalate in between neurons and wrap neuronal cell bodies (Hartenstein, 2011).</t>
        </is>
      </c>
      <c r="E596" t="inlineStr">
        <is>
          <t>Awasaki et al., 2008, J. Neurosci. 28(51): 13742--13753 (flybase.org/reports/FBrf0206543); Hartenstein, 2011, Glia 59(9): 1237--1252 (flybase.org/reports/FBrf0214261); Ito et al., 2014, Neuron 81(4): 755--765 (flybase.org/reports/FBrf0224194)</t>
        </is>
      </c>
      <c r="F596" t="inlineStr"/>
      <c r="G596" t="inlineStr"/>
      <c r="H596" t="inlineStr"/>
    </row>
    <row r="597">
      <c r="A597">
        <f>HYPERLINK("https://www.ebi.ac.uk/ols/ontologies/fbbt/terms?iri=http://purl.obolibrary.org/obo/FBbt_00111192","FBbt:00111192")</f>
        <v/>
      </c>
      <c r="B597" t="inlineStr">
        <is>
          <t>adult fruitless aSG2 neuron</t>
        </is>
      </c>
      <c r="C597" t="inlineStr">
        <is>
          <t>aSG2 neuron; fru-SG neuron</t>
        </is>
      </c>
      <c r="D597" t="inlineStr">
        <is>
          <t>Any neuron (FBbt:00005106) that is part of some adult fruitless aSG2 lineage clone (FBbt:00111191).</t>
        </is>
      </c>
      <c r="E597" t="inlineStr">
        <is>
          <t>Yu et al., 2010, Curr. Biol. 20(18): 1602--1614 (flybase.org/reports/FBrf0211884)</t>
        </is>
      </c>
      <c r="F597" t="inlineStr"/>
      <c r="G597" t="inlineStr"/>
      <c r="H597" t="inlineStr"/>
    </row>
    <row r="598">
      <c r="A598">
        <f>HYPERLINK("https://www.ebi.ac.uk/ols/ontologies/fbbt/terms?iri=http://purl.obolibrary.org/obo/FBbt_00003649","FBbt:00003649")</f>
        <v/>
      </c>
      <c r="B598" t="inlineStr">
        <is>
          <t>ring neuron</t>
        </is>
      </c>
      <c r="C598" t="inlineStr">
        <is>
          <t>None</t>
        </is>
      </c>
      <c r="D598" t="inlineStr">
        <is>
          <t>A large field neuron that forms ring-shaped arborizations in the ellipsoid body that circle the ellipsoid body canal. These arborizations may form complete or partial rings.</t>
        </is>
      </c>
      <c r="E598" t="inlineStr">
        <is>
          <t>Hanesch et al., 1989, Cell Tissue Res. 257(2): 343--366 (flybase.org/reports/FBrf0049409)</t>
        </is>
      </c>
      <c r="F598" t="inlineStr"/>
      <c r="G598" t="inlineStr"/>
      <c r="H598" t="inlineStr"/>
    </row>
    <row r="599">
      <c r="A599">
        <f>HYPERLINK("https://www.ebi.ac.uk/ols/ontologies/fbbt/terms?iri=http://purl.obolibrary.org/obo/FBbt_00110501","FBbt:00110501")</f>
        <v/>
      </c>
      <c r="B599" t="inlineStr">
        <is>
          <t>adult fruitless pMP-b (female) neuron</t>
        </is>
      </c>
      <c r="C599" t="inlineStr">
        <is>
          <t>pMP-b neuron; DN1 neuron; pMP5 neuron</t>
        </is>
      </c>
      <c r="D599" t="inlineStr">
        <is>
          <t>Any neuron (FBbt:00005106) that is part of some adult fruitless pMP-b (female) lineage clone (FBbt:00110500) and that develops from some neuroblast DM2 (FBbt:00050121) and that is part of some female organism (FBbt:00007011).</t>
        </is>
      </c>
      <c r="E599" t="inlineStr">
        <is>
          <t>Yu et al., 2010, Curr. Biol. 20(18): 1602--1614 (flybase.org/reports/FBrf0211884); Cachero et al., 2010, Curr. Biol. 20(18): 1589--1601 (flybase.org/reports/FBrf0211926); Yu et al., 2013, Curr. Biol. 23(8): 633--643 (flybase.org/reports/FBrf0221412); Ito et al., 2013, Curr. Biol. 23(8): 644--655 (flybase.org/reports/FBrf0221438)</t>
        </is>
      </c>
      <c r="F599" t="inlineStr"/>
      <c r="G599" t="inlineStr"/>
      <c r="H599" t="inlineStr"/>
    </row>
    <row r="600">
      <c r="A600">
        <f>HYPERLINK("https://www.ebi.ac.uk/ols/ontologies/fbbt/terms?iri=http://purl.obolibrary.org/obo/FBbt_00003646","FBbt:00003646")</f>
        <v/>
      </c>
      <c r="B600" t="inlineStr">
        <is>
          <t>pb-eb-no neuron</t>
        </is>
      </c>
      <c r="C600" t="inlineStr">
        <is>
          <t>PB 1-glomerulus neuron&gt;EBP-NoL1; PEN neuron; PBG2-9.s-EBt.b-NO1.b neuron; PB-EB-NO neuron; PB 1-glomerulus neuron&gt;EBP-NoR1; CX-SFN (pb-eb-no)</t>
        </is>
      </c>
      <c r="D600" t="inlineStr">
        <is>
          <t>A small field neuron of the adult central complex with dendritic arbors in one protocerebral bridge glomerulus (except glomerulus 1) and axon terminals in the posterior ring of two adjacent ellipsoid body domains and the contralateral nodulus subunit I.</t>
        </is>
      </c>
      <c r="E600" t="inlineStr">
        <is>
          <t>Hanesch et al., 1989, Cell Tissue Res. 257(2): 343--366 (flybase.org/reports/FBrf0049409); Lin et al., 2013, Cell Rep. 3(5): 1739--1753 (flybase.org/reports/FBrf0221742)</t>
        </is>
      </c>
      <c r="F600" t="inlineStr"/>
      <c r="G600" t="inlineStr"/>
      <c r="H600" t="inlineStr"/>
    </row>
    <row r="601">
      <c r="A601">
        <f>HYPERLINK("https://www.ebi.ac.uk/ols/ontologies/fbbt/terms?iri=http://purl.obolibrary.org/obo/FBbt_00111194","FBbt:00111194")</f>
        <v/>
      </c>
      <c r="B601" t="inlineStr">
        <is>
          <t>adult fruitless aSP10 neuron</t>
        </is>
      </c>
      <c r="C601" t="inlineStr">
        <is>
          <t>AL5b neuron; fru-AL neuron; aSP10 neuron</t>
        </is>
      </c>
      <c r="D601" t="inlineStr">
        <is>
          <t>Any neuron (FBbt:00005106) that is part of some adult fruitless aSP10 lineage clone (FBbt:00111193).</t>
        </is>
      </c>
      <c r="E601" t="inlineStr">
        <is>
          <t>Yu et al., 2010, Curr. Biol. 20(18): 1602--1614 (flybase.org/reports/FBrf0211884)</t>
        </is>
      </c>
      <c r="F601" t="inlineStr"/>
      <c r="G601" t="inlineStr"/>
      <c r="H601" t="inlineStr"/>
    </row>
    <row r="602">
      <c r="A602">
        <f>HYPERLINK("https://www.ebi.ac.uk/ols/ontologies/fbbt/terms?iri=http://purl.obolibrary.org/obo/FBbt_00003647","FBbt:00003647")</f>
        <v/>
      </c>
      <c r="B602" t="inlineStr">
        <is>
          <t>pb-fb-eb neuron</t>
        </is>
      </c>
      <c r="C602" t="inlineStr">
        <is>
          <t>CX-SFN (pb-fb-eb)</t>
        </is>
      </c>
      <c r="D602" t="inlineStr">
        <is>
          <t>A small field neuron of the adult central complex that innervates only the protocerebral bridge, the ellipsoid body and the fan-shaped body.</t>
        </is>
      </c>
      <c r="E602" t="inlineStr">
        <is>
          <t>Hanesch et al., 1989, Cell Tissue Res. 257(2): 343--366 (flybase.org/reports/FBrf0049409)</t>
        </is>
      </c>
      <c r="F602" t="inlineStr"/>
      <c r="G602" t="inlineStr"/>
      <c r="H602" t="inlineStr"/>
    </row>
    <row r="603">
      <c r="A603">
        <f>HYPERLINK("https://www.ebi.ac.uk/ols/ontologies/fbbt/terms?iri=http://purl.obolibrary.org/obo/FBbt_00110475","FBbt:00110475")</f>
        <v/>
      </c>
      <c r="B603" t="inlineStr">
        <is>
          <t>adult fruitless Lo neuron</t>
        </is>
      </c>
      <c r="C603" t="inlineStr">
        <is>
          <t>Lo neuron; LP1 neuron; fru-Lo neuron</t>
        </is>
      </c>
      <c r="D603" t="inlineStr">
        <is>
          <t>Any neuron (FBbt:00005106) that is part of some adult fruitless Lo lineage clone (FBbt:00110474).</t>
        </is>
      </c>
      <c r="E603" t="inlineStr">
        <is>
          <t>Lee et al., 2000, J. Neurobiol. 43(4): 404--426 (flybase.org/reports/FBrf0128543); Kimura et al., 2008, Neuron 59(5): 759--769 (flybase.org/reports/FBrf0205974); Yu et al., 2010, Curr. Biol. 20(18): 1602--1614 (flybase.org/reports/FBrf0211884); Cachero et al., 2010, Curr. Biol. 20(18): 1589--1601 (flybase.org/reports/FBrf0211926)</t>
        </is>
      </c>
      <c r="F603" t="inlineStr"/>
      <c r="G603" t="inlineStr"/>
      <c r="H603" t="inlineStr"/>
    </row>
    <row r="604">
      <c r="A604">
        <f>HYPERLINK("https://www.ebi.ac.uk/ols/ontologies/fbbt/terms?iri=http://purl.obolibrary.org/obo/FBbt_00110477","FBbt:00110477")</f>
        <v/>
      </c>
      <c r="B604" t="inlineStr">
        <is>
          <t>adult fruitless M neuron</t>
        </is>
      </c>
      <c r="C604" t="inlineStr">
        <is>
          <t>M1 neuron; fru-M neuron; M neuron</t>
        </is>
      </c>
      <c r="D604" t="inlineStr">
        <is>
          <t>Any neuron (FBbt:00005106) that is part of some adult fruitless M lineage clone (FBbt:00110476).</t>
        </is>
      </c>
      <c r="E604" t="inlineStr">
        <is>
          <t>Lee et al., 2000, J. Neurobiol. 43(4): 404--426 (flybase.org/reports/FBrf0128543); Kimura et al., 2008, Neuron 59(5): 759--769 (flybase.org/reports/FBrf0205974); Yu et al., 2010, Curr. Biol. 20(18): 1602--1614 (flybase.org/reports/FBrf0211884); Cachero et al., 2010, Curr. Biol. 20(18): 1589--1601 (flybase.org/reports/FBrf0211926)</t>
        </is>
      </c>
      <c r="F604" t="inlineStr"/>
      <c r="G604" t="inlineStr"/>
      <c r="H604" t="inlineStr"/>
    </row>
    <row r="605">
      <c r="A605">
        <f>HYPERLINK("https://www.ebi.ac.uk/ols/ontologies/fbbt/terms?iri=http://purl.obolibrary.org/obo/FBbt_00110439","FBbt:00110439")</f>
        <v/>
      </c>
      <c r="B605" t="inlineStr">
        <is>
          <t>adult fruitless aIP-e (female) neuron</t>
        </is>
      </c>
      <c r="C605" t="inlineStr">
        <is>
          <t>aSP9 neuron; aSP3 neuron; fru-AL neuron; LC2 neuron; aIP-e neuron; AL6a neuron</t>
        </is>
      </c>
      <c r="D605" t="inlineStr">
        <is>
          <t>Any neuron (FBbt:00005106) that is part of some adult fruitless aIP-e (female) lineage clone (FBbt:00110438) and that develops from some neuroblast VLPl2 (FBbt:00050225) and that is part of some female organism (FBbt:00007011).</t>
        </is>
      </c>
      <c r="E605" t="inlineStr">
        <is>
          <t>Lee et al., 2000, J. Neurobiol. 43(4): 404--426 (flybase.org/reports/FBrf0128543); Kimura et al., 2008, Neuron 59(5): 759--769 (flybase.org/reports/FBrf0205974); Yu et al., 2010, Curr. Biol. 20(18): 1602--1614 (flybase.org/reports/FBrf0211884); Cachero et al., 2010, Curr. Biol. 20(18): 1589--1601 (flybase.org/reports/FBrf0211926); Yu et al., 2013, Curr. Biol. 23(8): 633--643 (flybase.org/reports/FBrf0221412); Ito et al., 2013, Curr. Biol. 23(8): 644--655 (flybase.org/reports/FBrf0221438)</t>
        </is>
      </c>
      <c r="F605" t="inlineStr"/>
      <c r="G605" t="inlineStr"/>
      <c r="H605" t="inlineStr"/>
    </row>
    <row r="606">
      <c r="A606">
        <f>HYPERLINK("https://www.ebi.ac.uk/ols/ontologies/fbbt/terms?iri=http://purl.obolibrary.org/obo/FBbt_00111641","FBbt:00111641")</f>
        <v/>
      </c>
      <c r="B606" t="inlineStr">
        <is>
          <t>medulla columnar neuron MC61</t>
        </is>
      </c>
      <c r="C606" t="inlineStr">
        <is>
          <t>Lcn10C; lobula columnar neuron LC10C</t>
        </is>
      </c>
      <c r="D606" t="inlineStr">
        <is>
          <t>A medulla columnar neuron whose cell body is located on the lateral surface of the medulla cell body rind. It arborizes in medulla layers 6 and 7, spanning around 8 columns, and then projects into the central brain to terminate in the anterior optic tubercle (AOTU). Presynaptic terminals are found in the serpentine and M6A medulla layers, and postsynaptic ones in the medulla sublayer M6B and AOTU. There is heterogeneity in the medulla arborization: it can extend over its entire cross section or be confined to the dorsal region.</t>
        </is>
      </c>
      <c r="E606" t="inlineStr">
        <is>
          <t>Otsuna et al., 2014, Front. Neural Circuits 8: 8 (flybase.org/reports/FBrf0224242)</t>
        </is>
      </c>
      <c r="F606" t="inlineStr"/>
      <c r="G606" t="inlineStr"/>
      <c r="H606" t="inlineStr"/>
    </row>
    <row r="607">
      <c r="A607">
        <f>HYPERLINK("https://www.ebi.ac.uk/ols/ontologies/fbbt/terms?iri=http://purl.obolibrary.org/obo/FBbt_00111749","FBbt:00111749")</f>
        <v/>
      </c>
      <c r="B607" t="inlineStr">
        <is>
          <t>lobula columnar neuron LC14b</t>
        </is>
      </c>
      <c r="C607" t="inlineStr">
        <is>
          <t>None</t>
        </is>
      </c>
      <c r="D607" t="inlineStr">
        <is>
          <t>An extrinsic columnar neuron whose cell body lies in the dorsal area of the lateral cell body rind. Similarly to LC14, it projects from the ipsilateral lobula, along the great commissure. On the contralateral hemisphere, it innervates both the lobula and the medulla.</t>
        </is>
      </c>
      <c r="E607" t="inlineStr">
        <is>
          <t>Wu et al., 2016, eLife 5: e21022 (flybase.org/reports/FBrf0234700)</t>
        </is>
      </c>
      <c r="F607" t="inlineStr"/>
      <c r="G607" t="inlineStr"/>
      <c r="H607" t="inlineStr"/>
    </row>
    <row r="608">
      <c r="A608">
        <f>HYPERLINK("https://www.ebi.ac.uk/ols/ontologies/fbbt/terms?iri=http://purl.obolibrary.org/obo/FBbt_00110463","FBbt:00110463")</f>
        <v/>
      </c>
      <c r="B608" t="inlineStr">
        <is>
          <t>adult fruitless aSP-h (female) neuron</t>
        </is>
      </c>
      <c r="C608" t="inlineStr">
        <is>
          <t>DC2 neuron; aSP-h neuron</t>
        </is>
      </c>
      <c r="D608" t="inlineStr">
        <is>
          <t>Any neuron (FBbt:00005106) that is part of some adult fruitless aSP-h (female) lineage clone (FBbt:00110462) and that develops from some neuroblast LHl2 (FBbt:00050032) and that is part of some female organism (FBbt:00007011).</t>
        </is>
      </c>
      <c r="E608" t="inlineStr">
        <is>
          <t>Cachero et al., 2010, Curr. Biol. 20(18): 1589--1601 (flybase.org/reports/FBrf0211926); Yu et al., 2013, Curr. Biol. 23(8): 633--643 (flybase.org/reports/FBrf0221412); Ito et al., 2013, Curr. Biol. 23(8): 644--655 (flybase.org/reports/FBrf0221438)</t>
        </is>
      </c>
      <c r="F608" t="inlineStr"/>
      <c r="G608" t="inlineStr"/>
      <c r="H608" t="inlineStr"/>
    </row>
    <row r="609">
      <c r="A609">
        <f>HYPERLINK("https://www.ebi.ac.uk/ols/ontologies/fbbt/terms?iri=http://purl.obolibrary.org/obo/FBbt_00047713","FBbt:00047713")</f>
        <v/>
      </c>
      <c r="B609" t="inlineStr">
        <is>
          <t>medial antennal lobe tract projection neuron 3</t>
        </is>
      </c>
      <c r="C609" t="inlineStr">
        <is>
          <t>AL-mPN3</t>
        </is>
      </c>
      <c r="D609" t="inlineStr">
        <is>
          <t>Antennal lobe projection neuron of the adult that fasciculates with the medial antennal lobe tract (mALT). The mPN3 class is unilateral and arborizes in a single AL glomerulus. The fiber bifurcates in the AL hub, with one branch innervating an AL glomerulus and one joining the mALT. As well as innervating the mushroom body calyx and lateral horn, this class additionally projects via the posterior lateral fascicle to innervate the posterior lateral protocerebrum. Only one of these cells was identified by Tanaka et al., 2012, it contributes to the DA4m glomerulus.</t>
        </is>
      </c>
      <c r="E609" t="inlineStr">
        <is>
          <t>Tanaka et al., 2012, J. Comp. Neurol. 520(18): 4067--4130 (flybase.org/reports/FBrf0219809)</t>
        </is>
      </c>
      <c r="F609" t="inlineStr"/>
      <c r="G609" t="inlineStr"/>
      <c r="H609" t="inlineStr"/>
    </row>
    <row r="610">
      <c r="A610">
        <f>HYPERLINK("https://www.ebi.ac.uk/ols/ontologies/fbbt/terms?iri=http://purl.obolibrary.org/obo/FBbt_00110517","FBbt:00110517")</f>
        <v/>
      </c>
      <c r="B610" t="inlineStr">
        <is>
          <t>adult fruitless pSG-c neuron</t>
        </is>
      </c>
      <c r="C610" t="inlineStr">
        <is>
          <t>fru-SG neuron; pSG-c neuron</t>
        </is>
      </c>
      <c r="D610" t="inlineStr">
        <is>
          <t>Any neuron (FBbt:00005106) that is part of some adult fruitless pSG-c lineage clone (FBbt:00110516).</t>
        </is>
      </c>
      <c r="E610" t="inlineStr">
        <is>
          <t>Lee et al., 2000, J. Neurobiol. 43(4): 404--426 (flybase.org/reports/FBrf0128543); Cachero et al., 2010, Curr. Biol. 20(18): 1589--1601 (flybase.org/reports/FBrf0211926)</t>
        </is>
      </c>
      <c r="F610" t="inlineStr"/>
      <c r="G610" t="inlineStr"/>
      <c r="H610" t="inlineStr"/>
    </row>
    <row r="611">
      <c r="A611">
        <f>HYPERLINK("https://www.ebi.ac.uk/ols/ontologies/fbbt/terms?iri=http://purl.obolibrary.org/obo/FBbt_00047716","FBbt:00047716")</f>
        <v/>
      </c>
      <c r="B611" t="inlineStr">
        <is>
          <t>mediolateral antennal lobe tract projection neuron 3</t>
        </is>
      </c>
      <c r="C611" t="inlineStr">
        <is>
          <t>AL-mlPN3</t>
        </is>
      </c>
      <c r="D611" t="inlineStr">
        <is>
          <t>Adult multiglomerular antennal lobe (AL) projection neuron that fasciculates with the mediolateral antennal lobe tract to innervate the lateral horn. A branch also reaches the ring neuropil via the posterior lateral fascicle. Its cell body is part of the ventral cluster in the cell body rind of the AL. It innervates all AL glomeruli. There at least three cells of this type.</t>
        </is>
      </c>
      <c r="E611" t="inlineStr">
        <is>
          <t>Tanaka et al., 2012, J. Comp. Neurol. 520(18): 4067--4130 (flybase.org/reports/FBrf0219809)</t>
        </is>
      </c>
      <c r="F611" t="inlineStr"/>
      <c r="G611" t="inlineStr"/>
      <c r="H611" t="inlineStr"/>
    </row>
    <row r="612">
      <c r="A612">
        <f>HYPERLINK("https://www.ebi.ac.uk/ols/ontologies/fbbt/terms?iri=http://purl.obolibrary.org/obo/FBbt_00003657","FBbt:00003657")</f>
        <v/>
      </c>
      <c r="B612" t="inlineStr">
        <is>
          <t>fan-shaped neuron</t>
        </is>
      </c>
      <c r="C612" t="inlineStr">
        <is>
          <t>fan shaped neuron; F neuron</t>
        </is>
      </c>
      <c r="D612" t="inlineStr">
        <is>
          <t>Neuron with a large arborization field that forms a quasi-horizontal strata within the fan-shaped body that fills it in both the transverse and longitudinal directions. They mostly extend caudally from the anterior margin of the fan-shaped body. This pattern makes some of them look like a fan, although the strata in most cases do not show a separation into 8 (or 16) segments. Some subtypes are specific to a single fan-shaped body layer.</t>
        </is>
      </c>
      <c r="E612" t="inlineStr">
        <is>
          <t>Hanesch et al., 1989, Cell Tissue Res. 257(2): 343--366 (flybase.org/reports/FBrf0049409)</t>
        </is>
      </c>
      <c r="F612" t="inlineStr"/>
      <c r="G612" t="inlineStr"/>
      <c r="H612" t="inlineStr"/>
    </row>
    <row r="613">
      <c r="A613">
        <f>HYPERLINK("https://www.ebi.ac.uk/ols/ontologies/fbbt/terms?iri=http://purl.obolibrary.org/obo/FBbt_00111184","FBbt:00111184")</f>
        <v/>
      </c>
      <c r="B613" t="inlineStr">
        <is>
          <t>adult fruitless pIP3 neuron</t>
        </is>
      </c>
      <c r="C613" t="inlineStr">
        <is>
          <t>fru-pL neuron; pIP3 neuron</t>
        </is>
      </c>
      <c r="D613" t="inlineStr">
        <is>
          <t>Any neuron (FBbt:00005106) that is part of some adult fruitless pIP3 lineage clone (FBbt:00111183).</t>
        </is>
      </c>
      <c r="E613" t="inlineStr">
        <is>
          <t>Yu et al., 2010, Curr. Biol. 20(18): 1602--1614 (flybase.org/reports/FBrf0211884)</t>
        </is>
      </c>
      <c r="F613" t="inlineStr"/>
      <c r="G613" t="inlineStr"/>
      <c r="H613" t="inlineStr"/>
    </row>
    <row r="614">
      <c r="A614">
        <f>HYPERLINK("https://www.ebi.ac.uk/ols/ontologies/fbbt/terms?iri=http://purl.obolibrary.org/obo/FBbt_00047715","FBbt:00047715")</f>
        <v/>
      </c>
      <c r="B614" t="inlineStr">
        <is>
          <t>mediolateral antennal lobe tract projection neuron 2</t>
        </is>
      </c>
      <c r="C614" t="inlineStr">
        <is>
          <t>AL-mlPN2</t>
        </is>
      </c>
      <c r="D614" t="inlineStr">
        <is>
          <t>Adult multiglomerular antennal lobe projection neuron that fasciculates with the mediolateral antennal lobe tract and innervates the lateral horn. Its cell body is part of the ventral cluster in the antennal lobe cell body rind. There at least 23 cells of this type.</t>
        </is>
      </c>
      <c r="E614" t="inlineStr">
        <is>
          <t>Tanaka et al., 2012, J. Comp. Neurol. 520(18): 4067--4130 (flybase.org/reports/FBrf0219809)</t>
        </is>
      </c>
      <c r="F614" t="inlineStr"/>
      <c r="G614" t="inlineStr"/>
      <c r="H614" t="inlineStr"/>
    </row>
    <row r="615">
      <c r="A615">
        <f>HYPERLINK("https://www.ebi.ac.uk/ols/ontologies/fbbt/terms?iri=http://purl.obolibrary.org/obo/FBbt_00110519","FBbt:00110519")</f>
        <v/>
      </c>
      <c r="B615" t="inlineStr">
        <is>
          <t>adult fruitless pSG-d neuron</t>
        </is>
      </c>
      <c r="C615" t="inlineStr">
        <is>
          <t>fru-SG neuron; pSG-d neuron</t>
        </is>
      </c>
      <c r="D615" t="inlineStr">
        <is>
          <t>Any neuron (FBbt:00005106) that is part of some adult fruitless pSG-d lineage clone (FBbt:00110518).</t>
        </is>
      </c>
      <c r="E615" t="inlineStr">
        <is>
          <t>Lee et al., 2000, J. Neurobiol. 43(4): 404--426 (flybase.org/reports/FBrf0128543); Cachero et al., 2010, Curr. Biol. 20(18): 1589--1601 (flybase.org/reports/FBrf0211926)</t>
        </is>
      </c>
      <c r="F615" t="inlineStr"/>
      <c r="G615" t="inlineStr"/>
      <c r="H615" t="inlineStr"/>
    </row>
    <row r="616">
      <c r="A616">
        <f>HYPERLINK("https://www.ebi.ac.uk/ols/ontologies/fbbt/terms?iri=http://purl.obolibrary.org/obo/FBbt_00110509","FBbt:00110509")</f>
        <v/>
      </c>
      <c r="B616" t="inlineStr">
        <is>
          <t>adult fruitless pMP-f (female) neuron</t>
        </is>
      </c>
      <c r="C616" t="inlineStr">
        <is>
          <t>P2e neuron; pMP-f neuron; fru-P neuron</t>
        </is>
      </c>
      <c r="D616" t="inlineStr">
        <is>
          <t>Any neuron (FBbt:00005106) that is part of some adult fruitless pMP-f (female) lineage clone (FBbt:00110508) and that develops from some neuroblast DM6 (FBbt:00050142) and that is part of some female organism (FBbt:00007011).</t>
        </is>
      </c>
      <c r="E616" t="inlineStr">
        <is>
          <t>Lee et al., 2000, J. Neurobiol. 43(4): 404--426 (flybase.org/reports/FBrf0128543); Kimura et al., 2008, Neuron 59(5): 759--769 (flybase.org/reports/FBrf0205974); Cachero et al., 2010, Curr. Biol. 20(18): 1589--1601 (flybase.org/reports/FBrf0211926); Yu et al., 2013, Curr. Biol. 23(8): 633--643 (flybase.org/reports/FBrf0221412); Ito et al., 2013, Curr. Biol. 23(8): 644--655 (flybase.org/reports/FBrf0221438)</t>
        </is>
      </c>
      <c r="F616" t="inlineStr"/>
      <c r="G616" t="inlineStr"/>
      <c r="H616" t="inlineStr"/>
    </row>
    <row r="617">
      <c r="A617">
        <f>HYPERLINK("https://www.ebi.ac.uk/ols/ontologies/fbbt/terms?iri=http://purl.obolibrary.org/obo/FBbt_00111186","FBbt:00111186")</f>
        <v/>
      </c>
      <c r="B617" t="inlineStr">
        <is>
          <t>adult fruitless pSP1 neuron</t>
        </is>
      </c>
      <c r="C617" t="inlineStr">
        <is>
          <t>fru-pSP1 neuron; pSP1 neuron</t>
        </is>
      </c>
      <c r="D617" t="inlineStr">
        <is>
          <t>Any neuron (FBbt:00005106) that is part of some adult fruitless pSP1 lineage clone (FBbt:00111185).</t>
        </is>
      </c>
      <c r="E617" t="inlineStr">
        <is>
          <t>Yu et al., 2010, Curr. Biol. 20(18): 1602--1614 (flybase.org/reports/FBrf0211884)</t>
        </is>
      </c>
      <c r="F617" t="inlineStr"/>
      <c r="G617" t="inlineStr"/>
      <c r="H617" t="inlineStr"/>
    </row>
    <row r="618">
      <c r="A618">
        <f>HYPERLINK("https://www.ebi.ac.uk/ols/ontologies/fbbt/terms?iri=http://purl.obolibrary.org/obo/FBbt_00111188","FBbt:00111188")</f>
        <v/>
      </c>
      <c r="B618" t="inlineStr">
        <is>
          <t>adult fruitless aIP4 neuron</t>
        </is>
      </c>
      <c r="C618" t="inlineStr">
        <is>
          <t>fru-AL neuron; aIP-c neuron; aIP4 neuron</t>
        </is>
      </c>
      <c r="D618" t="inlineStr">
        <is>
          <t>Any neuron (FBbt:00005106) that is part of some adult fruitless aIP4 lineage clone (FBbt:00111187).</t>
        </is>
      </c>
      <c r="E618" t="inlineStr">
        <is>
          <t>Yu et al., 2010, Curr. Biol. 20(18): 1602--1614 (flybase.org/reports/FBrf0211884)</t>
        </is>
      </c>
      <c r="F618" t="inlineStr"/>
      <c r="G618" t="inlineStr"/>
      <c r="H618" t="inlineStr"/>
    </row>
    <row r="619">
      <c r="A619">
        <f>HYPERLINK("https://www.ebi.ac.uk/ols/ontologies/fbbt/terms?iri=http://purl.obolibrary.org/obo/FBbt_00047711","FBbt:00047711")</f>
        <v/>
      </c>
      <c r="B619" t="inlineStr">
        <is>
          <t>medial antennal lobe tract projection neuron 1</t>
        </is>
      </c>
      <c r="C619" t="inlineStr">
        <is>
          <t>AL-mPN1</t>
        </is>
      </c>
      <c r="D619" t="inlineStr">
        <is>
          <t>Antennal lobe projection neuron of the adult that fasciculates with the medial antennal lobe tract (mALT). The mPN1 class is unilateral and arborizes in a single AL glomerulus. The fiber bifurcates in the AL hub, with one branch innervating an AL glomerulus and one joining the mALT. There are at least 60 unique neurons of this type, collectively innervating at least 34 glomeruli. They have cell bodies in anterodorsal, lateral and ventral locations around the AL and they terminate in distinct zones of the mushroom body calyx and lateral horn.</t>
        </is>
      </c>
      <c r="E619" t="inlineStr">
        <is>
          <t>Tanaka et al., 2012, J. Comp. Neurol. 520(18): 4067--4130 (flybase.org/reports/FBrf0219809)</t>
        </is>
      </c>
      <c r="F619" t="inlineStr"/>
      <c r="G619" t="inlineStr"/>
      <c r="H619" t="inlineStr"/>
    </row>
    <row r="620">
      <c r="A620">
        <f>HYPERLINK("https://www.ebi.ac.uk/ols/ontologies/fbbt/terms?iri=http://purl.obolibrary.org/obo/FBbt_00048042","FBbt:00048042")</f>
        <v/>
      </c>
      <c r="B620" t="inlineStr">
        <is>
          <t>ltr-vbo neuron</t>
        </is>
      </c>
      <c r="C620" t="inlineStr">
        <is>
          <t>CX-SFN (ltr-vbo)</t>
        </is>
      </c>
      <c r="D620" t="inlineStr">
        <is>
          <t>Small field neuron of the central complex that innervates only the bulb (lateral triangle) and the lateral accessory lobe (ventral body). Hanesh et al. (1989) identified one cell type that fills the bulb with dense spiny arborizations and sends a small branch into the contralateral lateral accessory lobe.</t>
        </is>
      </c>
      <c r="E620" t="inlineStr">
        <is>
          <t>Hanesch et al., 1989, Cell Tissue Res. 257(2): 343--366 (flybase.org/reports/FBrf0049409)</t>
        </is>
      </c>
      <c r="F620" t="inlineStr"/>
      <c r="G620" t="inlineStr"/>
      <c r="H620" t="inlineStr"/>
    </row>
    <row r="621">
      <c r="A621">
        <f>HYPERLINK("https://www.ebi.ac.uk/ols/ontologies/fbbt/terms?iri=http://purl.obolibrary.org/obo/FBbt_00048041","FBbt:00048041")</f>
        <v/>
      </c>
      <c r="B621" t="inlineStr">
        <is>
          <t>fan-shaped body neuron 1</t>
        </is>
      </c>
      <c r="C621" t="inlineStr">
        <is>
          <t>FBN1</t>
        </is>
      </c>
      <c r="D621" t="inlineStr">
        <is>
          <t>Anaxonal, intrinsic neuron that resides in one segment and one layer, but two adjacent shells of the fan-shaped body. It may be restricted to the lateralmost segments of the fan-shaped body.</t>
        </is>
      </c>
      <c r="E621" t="inlineStr">
        <is>
          <t>Hanesch et al., 1989, Cell Tissue Res. 257(2): 343--366 (flybase.org/reports/FBrf0049409)</t>
        </is>
      </c>
      <c r="F621" t="inlineStr"/>
      <c r="G621" t="inlineStr"/>
      <c r="H621" t="inlineStr"/>
    </row>
    <row r="622">
      <c r="A622">
        <f>HYPERLINK("https://www.ebi.ac.uk/ols/ontologies/fbbt/terms?iri=http://purl.obolibrary.org/obo/FBbt_00110557","FBbt:00110557")</f>
        <v/>
      </c>
      <c r="B622" t="inlineStr">
        <is>
          <t>adult fruitless pIP4 neuron</t>
        </is>
      </c>
      <c r="C622" t="inlineStr">
        <is>
          <t>fru-P neuron; pIP4 neuron</t>
        </is>
      </c>
      <c r="D622" t="inlineStr">
        <is>
          <t>Any neuron (FBbt:00005106) that is part of some adult fruitless pIP4 lineage clone (FBbt:00110556).</t>
        </is>
      </c>
      <c r="E622" t="inlineStr">
        <is>
          <t>Lee et al., 2000, J. Neurobiol. 43(4): 404--426 (flybase.org/reports/FBrf0128543); Yu et al., 2010, Curr. Biol. 20(18): 1602--1614 (flybase.org/reports/FBrf0211884)</t>
        </is>
      </c>
      <c r="F622" t="inlineStr"/>
      <c r="G622" t="inlineStr"/>
      <c r="H622" t="inlineStr"/>
    </row>
    <row r="623">
      <c r="A623">
        <f>HYPERLINK("https://www.ebi.ac.uk/ols/ontologies/fbbt/terms?iri=http://purl.obolibrary.org/obo/FBbt_00111049","FBbt:00111049")</f>
        <v/>
      </c>
      <c r="B623" t="inlineStr">
        <is>
          <t>pb-eb neuron</t>
        </is>
      </c>
      <c r="C623" t="inlineStr">
        <is>
          <t>CX-SFN (pb-eb)</t>
        </is>
      </c>
      <c r="D623" t="inlineStr">
        <is>
          <t>A small field neuron of the adult central complex that innervates only the protocerebral bridge and the ellipsoid body.</t>
        </is>
      </c>
      <c r="E623" t="inlineStr">
        <is>
          <t>Hanesch et al., 1989, Cell Tissue Res. 257(2): 343--366 (flybase.org/reports/FBrf0049409)</t>
        </is>
      </c>
      <c r="F623" t="inlineStr"/>
      <c r="G623" t="inlineStr"/>
      <c r="H623" t="inlineStr"/>
    </row>
    <row r="624">
      <c r="A624">
        <f>HYPERLINK("https://www.ebi.ac.uk/ols/ontologies/fbbt/terms?iri=http://purl.obolibrary.org/obo/FBbt_00110591","FBbt:00110591")</f>
        <v/>
      </c>
      <c r="B624" t="inlineStr">
        <is>
          <t>adult fruitless aIP-e (male) neuron</t>
        </is>
      </c>
      <c r="C624" t="inlineStr">
        <is>
          <t>fru-AL neuron; aIP-e neuron; LC2 neuron; aSP9 neuron; AL6a neuron; aSP3 neuron</t>
        </is>
      </c>
      <c r="D624" t="inlineStr">
        <is>
          <t>Any neuron (FBbt:00005106) that is part of some adult fruitless aIP-e (male) lineage clone (FBbt:00110590) and that develops from some neuroblast VLPl2 (FBbt:00050225) and that is part of some male organism (FBbt:00007004).</t>
        </is>
      </c>
      <c r="E624" t="inlineStr">
        <is>
          <t>Lee et al., 2000, J. Neurobiol. 43(4): 404--426 (flybase.org/reports/FBrf0128543); Kimura et al., 2008, Neuron 59(5): 759--769 (flybase.org/reports/FBrf0205974); Yu et al., 2010, Curr. Biol. 20(18): 1602--1614 (flybase.org/reports/FBrf0211884); Cachero et al., 2010, Curr. Biol. 20(18): 1589--1601 (flybase.org/reports/FBrf0211926); Yu et al., 2013, Curr. Biol. 23(8): 633--643 (flybase.org/reports/FBrf0221412); Ito et al., 2013, Curr. Biol. 23(8): 644--655 (flybase.org/reports/FBrf0221438)</t>
        </is>
      </c>
      <c r="F624" t="inlineStr"/>
      <c r="G624" t="inlineStr"/>
      <c r="H624" t="inlineStr"/>
    </row>
    <row r="625">
      <c r="A625">
        <f>HYPERLINK("https://www.ebi.ac.uk/ols/ontologies/fbbt/terms?iri=http://purl.obolibrary.org/obo/FBbt_00003851","FBbt:00003851")</f>
        <v/>
      </c>
      <c r="B625" t="inlineStr">
        <is>
          <t>medullary tangential neuron Mt15</t>
        </is>
      </c>
      <c r="C625" t="inlineStr">
        <is>
          <t>Mt15</t>
        </is>
      </c>
      <c r="D625" t="inlineStr">
        <is>
          <t>Medullary tangential neuron that extensively innervates the layers around the serpentine layer of the medulla.</t>
        </is>
      </c>
      <c r="E625" t="inlineStr">
        <is>
          <t>Fischbach and Dittrich, 1989, Cell Tissue Res. 258(3): 441--475 (flybase.org/reports/FBrf0049410)</t>
        </is>
      </c>
      <c r="F625" t="inlineStr"/>
      <c r="G625" t="inlineStr"/>
      <c r="H625" t="inlineStr"/>
    </row>
    <row r="626">
      <c r="A626">
        <f>HYPERLINK("https://www.ebi.ac.uk/ols/ontologies/fbbt/terms?iri=http://purl.obolibrary.org/obo/FBbt_00111368","FBbt:00111368")</f>
        <v/>
      </c>
      <c r="B626" t="inlineStr">
        <is>
          <t>adult lobula plate astrocyte-like glial cell</t>
        </is>
      </c>
      <c r="C626" t="inlineStr">
        <is>
          <t>lobula plate astrocyte-like glia</t>
        </is>
      </c>
      <c r="D626" t="inlineStr">
        <is>
          <t>Astrocyte-like glial cell of the adult lobula plate.</t>
        </is>
      </c>
      <c r="E626" t="inlineStr">
        <is>
          <t>Edwards et al., 2012, J. Comp. Neurol. 520(10): 2067--2085 (flybase.org/reports/FBrf0218414)</t>
        </is>
      </c>
      <c r="F626" t="inlineStr"/>
      <c r="G626" t="inlineStr"/>
      <c r="H626" t="inlineStr"/>
    </row>
    <row r="627">
      <c r="A627">
        <f>HYPERLINK("https://www.ebi.ac.uk/ols/ontologies/fbbt/terms?iri=http://purl.obolibrary.org/obo/FBbt_00003850","FBbt:00003850")</f>
        <v/>
      </c>
      <c r="B627" t="inlineStr">
        <is>
          <t>medullary tangential neuron Mt14</t>
        </is>
      </c>
      <c r="C627" t="inlineStr">
        <is>
          <t>Mt14</t>
        </is>
      </c>
      <c r="D627" t="inlineStr">
        <is>
          <t>Medullary tangential neuron that extensively innervates the medulla. It does not seem to possess an axon.</t>
        </is>
      </c>
      <c r="E627" t="inlineStr">
        <is>
          <t>Fischbach and Dittrich, 1989, Cell Tissue Res. 258(3): 441--475 (flybase.org/reports/FBrf0049410)</t>
        </is>
      </c>
      <c r="F627" t="inlineStr"/>
      <c r="G627" t="inlineStr"/>
      <c r="H627" t="inlineStr"/>
    </row>
    <row r="628">
      <c r="A628">
        <f>HYPERLINK("https://www.ebi.ac.uk/ols/ontologies/fbbt/terms?iri=http://purl.obolibrary.org/obo/FBbt_00110503","FBbt:00110503")</f>
        <v/>
      </c>
      <c r="B628" t="inlineStr">
        <is>
          <t>adult fruitless pMP-c (female) neuron</t>
        </is>
      </c>
      <c r="C628" t="inlineStr">
        <is>
          <t>pMP-c neuron</t>
        </is>
      </c>
      <c r="D628" t="inlineStr">
        <is>
          <t>Any neuron (FBbt:00005106) that is part of some adult fruitless pMP-c (female) lineage clone (FBbt:00110502) and that develops from some adult DM4 lineage clone (FBbt:00050253) and that is part of some female organism (FBbt:00007011).</t>
        </is>
      </c>
      <c r="E628" t="inlineStr">
        <is>
          <t>Cachero et al., 2010, Curr. Biol. 20(18): 1589--1601 (flybase.org/reports/FBrf0211926)</t>
        </is>
      </c>
      <c r="F628" t="inlineStr"/>
      <c r="G628" t="inlineStr"/>
      <c r="H628" t="inlineStr"/>
    </row>
    <row r="629">
      <c r="A629">
        <f>HYPERLINK("https://www.ebi.ac.uk/ols/ontologies/fbbt/terms?iri=http://purl.obolibrary.org/obo/FBbt_00110523","FBbt:00110523")</f>
        <v/>
      </c>
      <c r="B629" t="inlineStr">
        <is>
          <t>adult fruitless pSP-a neuron</t>
        </is>
      </c>
      <c r="C629" t="inlineStr">
        <is>
          <t>pSP-a neuron</t>
        </is>
      </c>
      <c r="D629" t="inlineStr">
        <is>
          <t>Any neuron (FBbt:00005106) that is part of some adult fruitless pSP-a lineage clone (FBbt:00110522) and that develops from some neuroblast SMPpd1 (FBbt:00050021).</t>
        </is>
      </c>
      <c r="E629" t="inlineStr">
        <is>
          <t>Cachero et al., 2010, Curr. Biol. 20(18): 1589--1601 (flybase.org/reports/FBrf0211926); Yu et al., 2013, Curr. Biol. 23(8): 633--643 (flybase.org/reports/FBrf0221412); Ito et al., 2013, Curr. Biol. 23(8): 644--655 (flybase.org/reports/FBrf0221438)</t>
        </is>
      </c>
      <c r="F629" t="inlineStr"/>
      <c r="G629" t="inlineStr"/>
      <c r="H629" t="inlineStr"/>
    </row>
    <row r="630">
      <c r="A630">
        <f>HYPERLINK("https://www.ebi.ac.uk/ols/ontologies/fbbt/terms?iri=http://purl.obolibrary.org/obo/FBbt_00110555","FBbt:00110555")</f>
        <v/>
      </c>
      <c r="B630" t="inlineStr">
        <is>
          <t>adult fruitless aSP4 (male) neuron</t>
        </is>
      </c>
      <c r="C630" t="inlineStr">
        <is>
          <t>aSP4 neuron of the dopaminergic PAL cluster; fru-aSP3 neuron; aSP4 neuron</t>
        </is>
      </c>
      <c r="D630" t="inlineStr">
        <is>
          <t>Fruitless-expressing neuron of the adult male belonging to the aSP4 lineage clone. Its cell body is located between the anterior optic tract and the ventrolateral protocerebrum. A neurite projects ventrally before turning dorsally and extending superficially along the arch to the contralateral hemisphere. Arbors span the lateral junction, lateral and medial ring. The female equivalent of this cell does not have extensive arbors in the ring structure (Yu et al., 2010). There is one of these cells per hemisphere (Yu et al., 2010). It is also a dopaminergic cell of the PAL cluster (Xie et al., 2018).</t>
        </is>
      </c>
      <c r="E630" t="inlineStr">
        <is>
          <t>Lee et al., 2000, J. Neurobiol. 43(4): 404--426 (flybase.org/reports/FBrf0128543); Yu et al., 2010, Curr. Biol. 20(18): 1602--1614 (flybase.org/reports/FBrf0211884); Xie et al., 2018, Cell Rep. 23(2): 652--665 (flybase.org/reports/FBrf0238545)</t>
        </is>
      </c>
      <c r="F630" t="inlineStr"/>
      <c r="G630" t="inlineStr"/>
      <c r="H630" t="inlineStr"/>
    </row>
    <row r="631">
      <c r="A631">
        <f>HYPERLINK("https://www.ebi.ac.uk/ols/ontologies/fbbt/terms?iri=http://purl.obolibrary.org/obo/FBbt_00111367","FBbt:00111367")</f>
        <v/>
      </c>
      <c r="B631" t="inlineStr">
        <is>
          <t>adult lobula astrocyte-like glial cell</t>
        </is>
      </c>
      <c r="C631" t="inlineStr">
        <is>
          <t>lobula astrocyte-like glia</t>
        </is>
      </c>
      <c r="D631" t="inlineStr">
        <is>
          <t>Astrocyte-like glial cell of the adult lobula.</t>
        </is>
      </c>
      <c r="E631" t="inlineStr">
        <is>
          <t>Edwards et al., 2012, J. Comp. Neurol. 520(10): 2067--2085 (flybase.org/reports/FBrf0218414)</t>
        </is>
      </c>
      <c r="F631" t="inlineStr"/>
      <c r="G631" t="inlineStr"/>
      <c r="H631" t="inlineStr"/>
    </row>
    <row r="632">
      <c r="A632">
        <f>HYPERLINK("https://www.ebi.ac.uk/ols/ontologies/fbbt/terms?iri=http://purl.obolibrary.org/obo/FBbt_00111364","FBbt:00111364")</f>
        <v/>
      </c>
      <c r="B632" t="inlineStr">
        <is>
          <t>adult chandelier glial cell</t>
        </is>
      </c>
      <c r="C632" t="inlineStr">
        <is>
          <t>chandelier glia</t>
        </is>
      </c>
      <c r="D632" t="inlineStr">
        <is>
          <t>Glial cell of the proximal adult medulla. Its cell body lies at the edge of the neuropil, immediately distal to the inner chiasm giant glia. It extends astrocyte-like branches above medulla layer M10 and beneath M7.</t>
        </is>
      </c>
      <c r="E632" t="inlineStr">
        <is>
          <t>Edwards et al., 2012, J. Comp. Neurol. 520(10): 2067--2085 (flybase.org/reports/FBrf0218414)</t>
        </is>
      </c>
      <c r="F632" t="inlineStr"/>
      <c r="G632" t="inlineStr"/>
      <c r="H632" t="inlineStr"/>
    </row>
    <row r="633">
      <c r="A633">
        <f>HYPERLINK("https://www.ebi.ac.uk/ols/ontologies/fbbt/terms?iri=http://purl.obolibrary.org/obo/FBbt_00111365","FBbt:00111365")</f>
        <v/>
      </c>
      <c r="B633" t="inlineStr">
        <is>
          <t>adult medulla distal astrocyte-like glial cell</t>
        </is>
      </c>
      <c r="C633" t="inlineStr">
        <is>
          <t>medulla distal astrocyte-like glia</t>
        </is>
      </c>
      <c r="D633" t="inlineStr">
        <is>
          <t>Astrocyte-like glial cell of the distal adult medulla. Its cell body lies at the posterior edge of the distal medulla, with branches that extend into medulla columns as deep as the serpentine layer (M7). Other branches extend in a centrifugal direction, along chiasmal axons or glia that approaches from the lamina.</t>
        </is>
      </c>
      <c r="E633" t="inlineStr">
        <is>
          <t>Edwards et al., 2012, J. Comp. Neurol. 520(10): 2067--2085 (flybase.org/reports/FBrf0218414)</t>
        </is>
      </c>
      <c r="F633" t="inlineStr"/>
      <c r="G633" t="inlineStr"/>
      <c r="H633" t="inlineStr"/>
    </row>
    <row r="634">
      <c r="A634">
        <f>HYPERLINK("https://www.ebi.ac.uk/ols/ontologies/fbbt/terms?iri=http://purl.obolibrary.org/obo/FBbt_00111363","FBbt:00111363")</f>
        <v/>
      </c>
      <c r="B634" t="inlineStr">
        <is>
          <t>adult serpentine glial cell</t>
        </is>
      </c>
      <c r="C634" t="inlineStr">
        <is>
          <t>serpentine glia</t>
        </is>
      </c>
      <c r="D634" t="inlineStr">
        <is>
          <t>Amorphous glial cell of the serpentine layer of the adult medulla. It is located at the posterior margin of the serpentine layer (M7), extending thin branches distally toward the terminals of photoreceptor R7 in medulla layers M6 and M8.</t>
        </is>
      </c>
      <c r="E634" t="inlineStr">
        <is>
          <t>Edwards et al., 2012, J. Comp. Neurol. 520(10): 2067--2085 (flybase.org/reports/FBrf0218414)</t>
        </is>
      </c>
      <c r="F634" t="inlineStr"/>
      <c r="G634" t="inlineStr"/>
      <c r="H634" t="inlineStr"/>
    </row>
    <row r="635">
      <c r="A635">
        <f>HYPERLINK("https://www.ebi.ac.uk/ols/ontologies/fbbt/terms?iri=http://purl.obolibrary.org/obo/FBbt_00110551","FBbt:00110551")</f>
        <v/>
      </c>
      <c r="B635" t="inlineStr">
        <is>
          <t>adult fruitless pIP2 neuron</t>
        </is>
      </c>
      <c r="C635" t="inlineStr">
        <is>
          <t>pIP2 neuron; fru-P neuron</t>
        </is>
      </c>
      <c r="D635" t="inlineStr">
        <is>
          <t>Any neuron (FBbt:00005106) that is part of some adult fruitless pIP2 lineage clone (FBbt:00110550).</t>
        </is>
      </c>
      <c r="E635" t="inlineStr">
        <is>
          <t>Lee et al., 2000, J. Neurobiol. 43(4): 404--426 (flybase.org/reports/FBrf0128543); Yu et al., 2010, Curr. Biol. 20(18): 1602--1614 (flybase.org/reports/FBrf0211884)</t>
        </is>
      </c>
      <c r="F635" t="inlineStr"/>
      <c r="G635" t="inlineStr"/>
      <c r="H635" t="inlineStr"/>
    </row>
    <row r="636">
      <c r="A636">
        <f>HYPERLINK("https://www.ebi.ac.uk/ols/ontologies/fbbt/terms?iri=http://purl.obolibrary.org/obo/FBbt_00110469","FBbt:00110469")</f>
        <v/>
      </c>
      <c r="B636" t="inlineStr">
        <is>
          <t>adult fruitless aSP-k (female) neuron</t>
        </is>
      </c>
      <c r="C636" t="inlineStr">
        <is>
          <t>fru-aSP3 neuron; LC1 neuron; aSP-k neuron; aSP8 neuron; aSP3c neuron</t>
        </is>
      </c>
      <c r="D636" t="inlineStr">
        <is>
          <t>Any neuron (FBbt:00005106) that is part of some adult fruitless aSP-k (female) lineage clone (FBbt:00110468) and that develops from some neuroblast LHl1 (FBbt:00050047) and that is part of some female organism (FBbt:00007011).</t>
        </is>
      </c>
      <c r="E636" t="inlineStr">
        <is>
          <t>Lee et al., 2000, J. Neurobiol. 43(4): 404--426 (flybase.org/reports/FBrf0128543); Kimura et al., 2008, Neuron 59(5): 759--769 (flybase.org/reports/FBrf0205974); Yu et al., 2010, Curr. Biol. 20(18): 1602--1614 (flybase.org/reports/FBrf0211884); Cachero et al., 2010, Curr. Biol. 20(18): 1589--1601 (flybase.org/reports/FBrf0211926); Yu et al., 2013, Curr. Biol. 23(8): 633--643 (flybase.org/reports/FBrf0221412); Ito et al., 2013, Curr. Biol. 23(8): 644--655 (flybase.org/reports/FBrf0221438)</t>
        </is>
      </c>
      <c r="F636" t="inlineStr"/>
      <c r="G636" t="inlineStr"/>
      <c r="H636" t="inlineStr"/>
    </row>
    <row r="637">
      <c r="A637">
        <f>HYPERLINK("https://www.ebi.ac.uk/ols/ontologies/fbbt/terms?iri=http://purl.obolibrary.org/obo/FBbt_00110467","FBbt:00110467")</f>
        <v/>
      </c>
      <c r="B637" t="inlineStr">
        <is>
          <t>adult fruitless aSP-j neuron</t>
        </is>
      </c>
      <c r="C637" t="inlineStr">
        <is>
          <t>aSP-j neuron</t>
        </is>
      </c>
      <c r="D637" t="inlineStr">
        <is>
          <t>Any neuron (FBbt:00005106) that is part of some adult fruitless aSP-j lineage clone (FBbt:00110466) and that develops from some neuroblast AOTUv4 (FBbt:00050062).</t>
        </is>
      </c>
      <c r="E637" t="inlineStr">
        <is>
          <t>Cachero et al., 2010, Curr. Biol. 20(18): 1589--1601 (flybase.org/reports/FBrf0211926); Yu et al., 2013, Curr. Biol. 23(8): 633--643 (flybase.org/reports/FBrf0221412); Ito et al., 2013, Curr. Biol. 23(8): 644--655 (flybase.org/reports/FBrf0221438)</t>
        </is>
      </c>
      <c r="F637" t="inlineStr"/>
      <c r="G637" t="inlineStr"/>
      <c r="H637" t="inlineStr"/>
    </row>
    <row r="638">
      <c r="A638">
        <f>HYPERLINK("https://www.ebi.ac.uk/ols/ontologies/fbbt/terms?iri=http://purl.obolibrary.org/obo/FBbt_00110421","FBbt:00110421")</f>
        <v/>
      </c>
      <c r="B638" t="inlineStr">
        <is>
          <t>adult fruitless aDT-d (female) neuron</t>
        </is>
      </c>
      <c r="C638" t="inlineStr">
        <is>
          <t>fru-AL neuron; aDT-d neuron; aSP12 neuron; AL1 neuron</t>
        </is>
      </c>
      <c r="D638" t="inlineStr">
        <is>
          <t>Any neuron (FBbt:00005106) that is part of some adult fruitless aDT-d (female) lineage clone (FBbt:00110420) and that is part of some female organism (FBbt:00007011).</t>
        </is>
      </c>
      <c r="E638" t="inlineStr">
        <is>
          <t>Lee et al., 2000, J. Neurobiol. 43(4): 404--426 (flybase.org/reports/FBrf0128543); Kimura et al., 2008, Neuron 59(5): 759--769 (flybase.org/reports/FBrf0205974); Yu et al., 2010, Curr. Biol. 20(18): 1602--1614 (flybase.org/reports/FBrf0211884); Cachero et al., 2010, Curr. Biol. 20(18): 1589--1601 (flybase.org/reports/FBrf0211926)</t>
        </is>
      </c>
      <c r="F638" t="inlineStr"/>
      <c r="G638" t="inlineStr"/>
      <c r="H638" t="inlineStr"/>
    </row>
    <row r="639">
      <c r="A639">
        <f>HYPERLINK("https://www.ebi.ac.uk/ols/ontologies/fbbt/terms?iri=http://purl.obolibrary.org/obo/FBbt_00110455","FBbt:00110455")</f>
        <v/>
      </c>
      <c r="B639" t="inlineStr">
        <is>
          <t>adult fruitless aSP-d neuron</t>
        </is>
      </c>
      <c r="C639" t="inlineStr">
        <is>
          <t>fru-aSP3 neuron; AL4 clone; aSP-d neuron</t>
        </is>
      </c>
      <c r="D639" t="inlineStr">
        <is>
          <t>Any neuron (FBbt:00005106) that is part of some adult fruitless aSP-d lineage clone (FBbt:00110454) and that develops from some neuroblast CREa2 (FBbt:00050273).</t>
        </is>
      </c>
      <c r="E639" t="inlineStr">
        <is>
          <t>Lee et al., 2000, J. Neurobiol. 43(4): 404--426 (flybase.org/reports/FBrf0128543); Cachero et al., 2010, Curr. Biol. 20(18): 1589--1601 (flybase.org/reports/FBrf0211926); Yu et al., 2013, Curr. Biol. 23(8): 633--643 (flybase.org/reports/FBrf0221412); Ito et al., 2013, Curr. Biol. 23(8): 644--655 (flybase.org/reports/FBrf0221438)</t>
        </is>
      </c>
      <c r="F639" t="inlineStr"/>
      <c r="G639" t="inlineStr"/>
      <c r="H639" t="inlineStr"/>
    </row>
    <row r="640">
      <c r="A640">
        <f>HYPERLINK("https://www.ebi.ac.uk/ols/ontologies/fbbt/terms?iri=http://purl.obolibrary.org/obo/FBbt_00100490","FBbt:00100490")</f>
        <v/>
      </c>
      <c r="B640" t="inlineStr">
        <is>
          <t>lobula tangential neuron Lt32</t>
        </is>
      </c>
      <c r="C640" t="inlineStr">
        <is>
          <t>LT32</t>
        </is>
      </c>
      <c r="D640" t="inlineStr">
        <is>
          <t>A lobula tangential neuron whose cell body is located lateral to the esophageal foramen. The cell body fiber runs posteriorly along the esophagus and turns upwards near the posterior end of the brain where it forms a Y-shaped branch. One branch runs laterally to project to the lobula, and the other crosses the midline to innervate the contralateral lobula. Along the trajectory towards the lobula, the fiber forms another collateral branch which innervates the posterior lateral protocerebrum. The main branch reaches the lobula and forms extensive tree-like arborizations with varicosities in lobula layers 5 and 6. There is only one neuron of this type per brain hemisphere.</t>
        </is>
      </c>
      <c r="E640" t="inlineStr">
        <is>
          <t>Otsuna and Ito, 2006, J. Comp. Neurol. 497(6): 928--958 (flybase.org/reports/FBrf0193607)</t>
        </is>
      </c>
      <c r="F640" t="inlineStr"/>
      <c r="G640" t="inlineStr"/>
      <c r="H640" t="inlineStr"/>
    </row>
    <row r="641">
      <c r="A641">
        <f>HYPERLINK("https://www.ebi.ac.uk/ols/ontologies/fbbt/terms?iri=http://purl.obolibrary.org/obo/FBbt_00111759","FBbt:00111759")</f>
        <v/>
      </c>
      <c r="B641" t="inlineStr">
        <is>
          <t>lobula columnar neuron LC24</t>
        </is>
      </c>
      <c r="C641" t="inlineStr">
        <is>
          <t>None</t>
        </is>
      </c>
      <c r="D641" t="inlineStr">
        <is>
          <t>An extrinsic columnar neuron whose cell body lies in the ventral area of the lateral cell body rind. It has its main dendritic arbors in lobula layers 5 and 6, with some processes in 4. Sparse presynaptic sites are observed throughout the lobula arbors. It projects to a small and dorsal optic glomerulus of the PVLP, posterior to LC6 and LC16 glomeruli. There are around 38 cells of this type.</t>
        </is>
      </c>
      <c r="E641" t="inlineStr">
        <is>
          <t>Panser et al., 2016, Curr. Biol. 26(15): 1943--1954 (flybase.org/reports/FBrf0233032); Wu et al., 2016, eLife 5: e21022 (flybase.org/reports/FBrf0234700)</t>
        </is>
      </c>
      <c r="F641" t="inlineStr"/>
      <c r="G641" t="inlineStr"/>
      <c r="H641" t="inlineStr"/>
    </row>
    <row r="642">
      <c r="A642">
        <f>HYPERLINK("https://www.ebi.ac.uk/ols/ontologies/fbbt/terms?iri=http://purl.obolibrary.org/obo/FBbt_00111758","FBbt:00111758")</f>
        <v/>
      </c>
      <c r="B642" t="inlineStr">
        <is>
          <t>lobula columnar neuron LC23</t>
        </is>
      </c>
      <c r="C642" t="inlineStr">
        <is>
          <t>None</t>
        </is>
      </c>
      <c r="D642" t="inlineStr">
        <is>
          <t>An extrinsic columnar neuron whose cell body lies in the dorsal area of the lateral cell body rind. It has its main arbors in lobula layers 2 and 4, covering only the anterior lobula. It projects to both ipsi- and contralateral hemispheres, terminating posterior to the antennal lobe.</t>
        </is>
      </c>
      <c r="E642" t="inlineStr">
        <is>
          <t>Wu et al., 2016, eLife 5: e21022 (flybase.org/reports/FBrf0234700)</t>
        </is>
      </c>
      <c r="F642" t="inlineStr"/>
      <c r="G642" t="inlineStr"/>
      <c r="H642" t="inlineStr"/>
    </row>
    <row r="643">
      <c r="A643">
        <f>HYPERLINK("https://www.ebi.ac.uk/ols/ontologies/fbbt/terms?iri=http://purl.obolibrary.org/obo/FBbt_00111755","FBbt:00111755")</f>
        <v/>
      </c>
      <c r="B643" t="inlineStr">
        <is>
          <t>lobula columnar neuron LC20</t>
        </is>
      </c>
      <c r="C643" t="inlineStr">
        <is>
          <t>None</t>
        </is>
      </c>
      <c r="D643" t="inlineStr">
        <is>
          <t>An extrinsic columnar neuron whose cell body lies in the anterior area of the lateral cell body rind. It has its main dendritic arbors in lobula layers 5A and 6, with minor branches in layers 4 and 5B. Presynaptic sites are observed in layers 5A and 6. It projects to a very small and posterior optic glomerulus of the PVLP, not closely associated to other glomeruli and variable in shape between individuals. The glomerulus region is dorsal to the one from LC13. There are around 29 cells of this type.</t>
        </is>
      </c>
      <c r="E643" t="inlineStr">
        <is>
          <t>Panser et al., 2016, Curr. Biol. 26(15): 1943--1954 (flybase.org/reports/FBrf0233032); Wu et al., 2016, eLife 5: e21022 (flybase.org/reports/FBrf0234700)</t>
        </is>
      </c>
      <c r="F643" t="inlineStr"/>
      <c r="G643" t="inlineStr"/>
      <c r="H643" t="inlineStr"/>
    </row>
    <row r="644">
      <c r="A644">
        <f>HYPERLINK("https://www.ebi.ac.uk/ols/ontologies/fbbt/terms?iri=http://purl.obolibrary.org/obo/FBbt_00110465","FBbt:00110465")</f>
        <v/>
      </c>
      <c r="B644" t="inlineStr">
        <is>
          <t>adult fruitless aSP-i (female) neuron</t>
        </is>
      </c>
      <c r="C644" t="inlineStr">
        <is>
          <t>aSP11 neuron; aSP-i neuron; AL5a neuron</t>
        </is>
      </c>
      <c r="D644" t="inlineStr">
        <is>
          <t>Any neuron (FBbt:00005106) that is part of some adult fruitless aSP-i (female) lineage clone (FBbt:00110464) and that develops from some neuroblast AOTUv3 (FBbt:00050127) and that is part of some female organism (FBbt:00007011).</t>
        </is>
      </c>
      <c r="E644" t="inlineStr">
        <is>
          <t>Kimura et al., 2008, Neuron 59(5): 759--769 (flybase.org/reports/FBrf0205974); Yu et al., 2010, Curr. Biol. 20(18): 1602--1614 (flybase.org/reports/FBrf0211884); Cachero et al., 2010, Curr. Biol. 20(18): 1589--1601 (flybase.org/reports/FBrf0211926); Yu et al., 2013, Curr. Biol. 23(8): 633--643 (flybase.org/reports/FBrf0221412); Ito et al., 2013, Curr. Biol. 23(8): 644--655 (flybase.org/reports/FBrf0221438)</t>
        </is>
      </c>
      <c r="F644" t="inlineStr"/>
      <c r="G644" t="inlineStr"/>
      <c r="H644" t="inlineStr"/>
    </row>
    <row r="645">
      <c r="A645">
        <f>HYPERLINK("https://www.ebi.ac.uk/ols/ontologies/fbbt/terms?iri=http://purl.obolibrary.org/obo/FBbt_00110419","FBbt:00110419")</f>
        <v/>
      </c>
      <c r="B645" t="inlineStr">
        <is>
          <t>adult fruitless aDT-c neuron</t>
        </is>
      </c>
      <c r="C645" t="inlineStr">
        <is>
          <t>AL2 neuron; aDT-c neuron; fru-AL neuron</t>
        </is>
      </c>
      <c r="D645" t="inlineStr">
        <is>
          <t>Any neuron (FBbt:00005106) that is part of some adult fruitless aDT-c lineage clone (FBbt:00110418).</t>
        </is>
      </c>
      <c r="E645" t="inlineStr">
        <is>
          <t>Lee et al., 2000, J. Neurobiol. 43(4): 404--426 (flybase.org/reports/FBrf0128543); Kimura et al., 2008, Neuron 59(5): 759--769 (flybase.org/reports/FBrf0205974); Cachero et al., 2010, Curr. Biol. 20(18): 1589--1601 (flybase.org/reports/FBrf0211926)</t>
        </is>
      </c>
      <c r="F645" t="inlineStr"/>
      <c r="G645" t="inlineStr"/>
      <c r="H645" t="inlineStr"/>
    </row>
    <row r="646">
      <c r="A646">
        <f>HYPERLINK("https://www.ebi.ac.uk/ols/ontologies/fbbt/terms?iri=http://purl.obolibrary.org/obo/FBbt_00111754","FBbt:00111754")</f>
        <v/>
      </c>
      <c r="B646" t="inlineStr">
        <is>
          <t>lobula columnar neuron LC19</t>
        </is>
      </c>
      <c r="C646" t="inlineStr">
        <is>
          <t>None</t>
        </is>
      </c>
      <c r="D646" t="inlineStr">
        <is>
          <t>An extrinsic columnar neuron whose cell body lies in the dorsal area of the lateral cell body rind. It has its main arbors in lobula layers 5 and 6, spreading across the whole lobula. It projects to the contralateral hemisphere, terminating posterior to the antennal lobe.</t>
        </is>
      </c>
      <c r="E646" t="inlineStr">
        <is>
          <t>Wu et al., 2016, eLife 5: e21022 (flybase.org/reports/FBrf0234700)</t>
        </is>
      </c>
      <c r="F646" t="inlineStr"/>
      <c r="G646" t="inlineStr"/>
      <c r="H646" t="inlineStr"/>
    </row>
    <row r="647">
      <c r="A647">
        <f>HYPERLINK("https://www.ebi.ac.uk/ols/ontologies/fbbt/terms?iri=http://purl.obolibrary.org/obo/FBbt_00111757","FBbt:00111757")</f>
        <v/>
      </c>
      <c r="B647" t="inlineStr">
        <is>
          <t>lobula columnar neuron LC22</t>
        </is>
      </c>
      <c r="C647" t="inlineStr">
        <is>
          <t>None</t>
        </is>
      </c>
      <c r="D647" t="inlineStr">
        <is>
          <t>An extrinsic columnar neuron whose cell body lies in the dorsal area of the lateral cell body rind. It has its main dendritic arbors in lobula layers 4, 5A and 6, with connecting processes likely to branch in 5B. Presynaptic sites are observed in layers 4 and 6. It projects to a posterior and medial optic glomerulus of the PVLP, closely associated (and possibly overlapping) with LPLC4 glomeruli. There are around 31 cells of this type.</t>
        </is>
      </c>
      <c r="E647" t="inlineStr">
        <is>
          <t>Panser et al., 2016, Curr. Biol. 26(15): 1943--1954 (flybase.org/reports/FBrf0233032); Wu et al., 2016, eLife 5: e21022 (flybase.org/reports/FBrf0234700)</t>
        </is>
      </c>
      <c r="F647" t="inlineStr"/>
      <c r="G647" t="inlineStr"/>
      <c r="H647" t="inlineStr"/>
    </row>
    <row r="648">
      <c r="A648">
        <f>HYPERLINK("https://www.ebi.ac.uk/ols/ontologies/fbbt/terms?iri=http://purl.obolibrary.org/obo/FBbt_00003909","FBbt:00003909")</f>
        <v/>
      </c>
      <c r="B648" t="inlineStr">
        <is>
          <t>lobula plate tangential neuron Lpt2</t>
        </is>
      </c>
      <c r="C648" t="inlineStr">
        <is>
          <t>PT2; Lpt2; lobular plate tangential neuron Lpt2</t>
        </is>
      </c>
      <c r="D648" t="inlineStr">
        <is>
          <t>A lobula plate tangential neuron that projects along lobula plate layer 4 and that has short branches along its length that terminate as blebs in lobula plate layers 3 and 4.</t>
        </is>
      </c>
      <c r="E648" t="inlineStr">
        <is>
          <t>Fischbach and Dittrich, 1989, Cell Tissue Res. 258(3): 441--475 (flybase.org/reports/FBrf0049410)</t>
        </is>
      </c>
      <c r="F648" t="inlineStr"/>
      <c r="G648" t="inlineStr"/>
      <c r="H648" t="inlineStr"/>
    </row>
    <row r="649">
      <c r="A649">
        <f>HYPERLINK("https://www.ebi.ac.uk/ols/ontologies/fbbt/terms?iri=http://purl.obolibrary.org/obo/FBbt_00111756","FBbt:00111756")</f>
        <v/>
      </c>
      <c r="B649" t="inlineStr">
        <is>
          <t>lobula columnar neuron LC21</t>
        </is>
      </c>
      <c r="C649" t="inlineStr">
        <is>
          <t>None</t>
        </is>
      </c>
      <c r="D649" t="inlineStr">
        <is>
          <t>An extrinsic columnar neuron whose cell body lies along the dorsal posterior surface of the lobula, in the lobula rind. It has its main dendritic arbors in lobula layers boundaries 2/3, 3/4, 5A/5B and 5B/6. Presynaptic sites are observed in layers 3/4 and along the boundary of 5B. It projects to an elongated glomerulus in an intermediate position between the dorsal and ventral groups of optic glomeruli of the PVLP, lateral to LC11. There are around 87 cells of this type.</t>
        </is>
      </c>
      <c r="E649" t="inlineStr">
        <is>
          <t>Panser et al., 2016, Curr. Biol. 26(15): 1943--1954 (flybase.org/reports/FBrf0233032); Wu et al., 2016, eLife 5: e21022 (flybase.org/reports/FBrf0234700)</t>
        </is>
      </c>
      <c r="F649" t="inlineStr"/>
      <c r="G649" t="inlineStr"/>
      <c r="H649" t="inlineStr"/>
    </row>
    <row r="650">
      <c r="A650">
        <f>HYPERLINK("https://www.ebi.ac.uk/ols/ontologies/fbbt/terms?iri=http://purl.obolibrary.org/obo/FBbt_00047722","FBbt:00047722")</f>
        <v/>
      </c>
      <c r="B650" t="inlineStr">
        <is>
          <t>lateral antennal lobe tract projection neuron 2</t>
        </is>
      </c>
      <c r="C650" t="inlineStr">
        <is>
          <t>AL-lPN2</t>
        </is>
      </c>
      <c r="D650" t="inlineStr">
        <is>
          <t>Adult bilateral multiglomerular antennal lobe (AL) projection neuron that makes extensive non-glomerular arborizations. Some branches project to the contralateral AL via the AL commissure. Its cell body is located lateral to the AL. The main fiber joins the lALT and projects to the ventromedial part of the lateral horn. One branch innervates the anterior superior lateral protocerebrum, another projects to the ring neuropil via the superior part of the posterior lateral fascicle and another innervates the anterior posterior lateral protocerebrum via the lateral section of the posterior lateral fascicle. This describes at least nine cells.</t>
        </is>
      </c>
      <c r="E650" t="inlineStr">
        <is>
          <t>Tanaka et al., 2012, J. Comp. Neurol. 520(18): 4067--4130 (flybase.org/reports/FBrf0219809)</t>
        </is>
      </c>
      <c r="F650" t="inlineStr"/>
      <c r="G650" t="inlineStr"/>
      <c r="H650" t="inlineStr"/>
    </row>
    <row r="651">
      <c r="A651">
        <f>HYPERLINK("https://www.ebi.ac.uk/ols/ontologies/fbbt/terms?iri=http://purl.obolibrary.org/obo/FBbt_00111751","FBbt:00111751")</f>
        <v/>
      </c>
      <c r="B651" t="inlineStr">
        <is>
          <t>lobula columnar neuron LC16</t>
        </is>
      </c>
      <c r="C651" t="inlineStr">
        <is>
          <t>None</t>
        </is>
      </c>
      <c r="D651" t="inlineStr">
        <is>
          <t>An extrinsic columnar neuron whose cell body lies in the ventral area of the lateral cell body rind. It has its main dendritic arbors in lobula layers 4, 5B and some processes in layer 5A. Presynaptic sites are observed in layers 4 and 5B. It projects to the most dorsal and lateral of optic glomeruli of the PVLP, dorsal to LC6. There are around 96 cells of this type.</t>
        </is>
      </c>
      <c r="E651" t="inlineStr">
        <is>
          <t>Panser et al., 2016, Curr. Biol. 26(15): 1943--1954 (flybase.org/reports/FBrf0233032); Wu et al., 2016, eLife 5: e21022 (flybase.org/reports/FBrf0234700)</t>
        </is>
      </c>
      <c r="F651" t="inlineStr"/>
      <c r="G651" t="inlineStr"/>
      <c r="H651" t="inlineStr"/>
    </row>
    <row r="652">
      <c r="A652">
        <f>HYPERLINK("https://www.ebi.ac.uk/ols/ontologies/fbbt/terms?iri=http://purl.obolibrary.org/obo/FBbt_00003879","FBbt:00003879")</f>
        <v/>
      </c>
      <c r="B652" t="inlineStr">
        <is>
          <t>lobula complex columnar neuron</t>
        </is>
      </c>
      <c r="C652" t="inlineStr">
        <is>
          <t>Lccn; lobular complex columnar neuron; lobula plate-lobula neuron; lobula-lobula plate neuron; LPLC neuron; LLP neuron; LPL neuron</t>
        </is>
      </c>
      <c r="D652" t="inlineStr">
        <is>
          <t>Extrinsic columnar neuron of the optic lobe that innervates both the lobula and the lobula plate.</t>
        </is>
      </c>
      <c r="E652" t="inlineStr">
        <is>
          <t>Fischbach and Dittrich, 1989, Cell Tissue Res. 258(3): 441--475 (flybase.org/reports/FBrf0049410)</t>
        </is>
      </c>
      <c r="F652" t="inlineStr"/>
      <c r="G652" t="inlineStr"/>
      <c r="H652" t="inlineStr"/>
    </row>
    <row r="653">
      <c r="A653">
        <f>HYPERLINK("https://www.ebi.ac.uk/ols/ontologies/fbbt/terms?iri=http://purl.obolibrary.org/obo/FBbt_00110451","FBbt:00110451")</f>
        <v/>
      </c>
      <c r="B653" t="inlineStr">
        <is>
          <t>adult fruitless aSP-b (female) neuron</t>
        </is>
      </c>
      <c r="C653" t="inlineStr">
        <is>
          <t>fru-aSP1 neuron; aSP-b neuron; aSP1 neuron</t>
        </is>
      </c>
      <c r="D653" t="inlineStr">
        <is>
          <t>Any neuron (FBbt:00005106) that is part of some adult fruitless aSP-b (female) lineage clone (FBbt:00110450) and that develops from some neuroblast SMPad2 (FBbt:00050201) and that is part of some female organism (FBbt:00007011).</t>
        </is>
      </c>
      <c r="E653" t="inlineStr">
        <is>
          <t>Lee et al., 2000, J. Neurobiol. 43(4): 404--426 (flybase.org/reports/FBrf0128543); Kimura et al., 2008, Neuron 59(5): 759--769 (flybase.org/reports/FBrf0205974); Yu et al., 2010, Curr. Biol. 20(18): 1602--1614 (flybase.org/reports/FBrf0211884); Cachero et al., 2010, Curr. Biol. 20(18): 1589--1601 (flybase.org/reports/FBrf0211926); Yu et al., 2013, Curr. Biol. 23(8): 633--643 (flybase.org/reports/FBrf0221412); Ito et al., 2013, Curr. Biol. 23(8): 644--655 (flybase.org/reports/FBrf0221438)</t>
        </is>
      </c>
      <c r="F653" t="inlineStr"/>
      <c r="G653" t="inlineStr"/>
      <c r="H653" t="inlineStr"/>
    </row>
    <row r="654">
      <c r="A654">
        <f>HYPERLINK("https://www.ebi.ac.uk/ols/ontologies/fbbt/terms?iri=http://purl.obolibrary.org/obo/FBbt_00110595","FBbt:00110595")</f>
        <v/>
      </c>
      <c r="B654" t="inlineStr">
        <is>
          <t>adult fruitless aSP-a (male) neuron</t>
        </is>
      </c>
      <c r="C654" t="inlineStr">
        <is>
          <t>fru-aSP2 neuron; aSP-a neuron; aSP2 neuron</t>
        </is>
      </c>
      <c r="D654" t="inlineStr">
        <is>
          <t>Fruitless-expressing neuron that develops from the SMPad1 (male) neuroblast. It has synaptic terminals in the ventrolateral protocerebrum as well as pre- and post- synaptic terminals in the ellipsoid body (Yu et al., 2010). Many of these are activated by the presence of females, but not males (Takayanagi-Kiya and Kiya, 2019).</t>
        </is>
      </c>
      <c r="E654" t="inlineStr">
        <is>
          <t>Lee et al., 2000, J. Neurobiol. 43(4): 404--426 (flybase.org/reports/FBrf0128543); Kimura et al., 2008, Neuron 59(5): 759--769 (flybase.org/reports/FBrf0205974); Yu et al., 2010, Curr. Biol. 20(18): 1602--1614 (flybase.org/reports/FBrf0211884); Cachero et al., 2010, Curr. Biol. 20(18): 1589--1601 (flybase.org/reports/FBrf0211926); Yu et al., 2013, Curr. Biol. 23(8): 633--643 (flybase.org/reports/FBrf0221412); Ito et al., 2013, Curr. Biol. 23(8): 644--655 (flybase.org/reports/FBrf0221438); Takayanagi-Kiya and Kiya, 2019, Proc. Natl. Acad. Sci. U.S.A. 116(12): 5715--5720 (flybase.org/reports/FBrf0241873)</t>
        </is>
      </c>
      <c r="F654" t="inlineStr"/>
      <c r="G654" t="inlineStr"/>
      <c r="H654" t="inlineStr"/>
    </row>
    <row r="655">
      <c r="A655">
        <f>HYPERLINK("https://www.ebi.ac.uk/ols/ontologies/fbbt/terms?iri=http://purl.obolibrary.org/obo/FBbt_00110473","FBbt:00110473")</f>
        <v/>
      </c>
      <c r="B655" t="inlineStr">
        <is>
          <t>adult fruitless aSP-m neuron</t>
        </is>
      </c>
      <c r="C655" t="inlineStr">
        <is>
          <t>aSP-m neuron</t>
        </is>
      </c>
      <c r="D655" t="inlineStr">
        <is>
          <t>Any neuron (FBbt:00005106) that is part of some adult fruitless aSP-m lineage clone (FBbt:00110472) and that develops from some neuroblast SLPa&amp;l1 (FBbt:00050003).</t>
        </is>
      </c>
      <c r="E655" t="inlineStr">
        <is>
          <t>Cachero et al., 2010, Curr. Biol. 20(18): 1589--1601 (flybase.org/reports/FBrf0211926); Yu et al., 2013, Curr. Biol. 23(8): 633--643 (flybase.org/reports/FBrf0221412); Ito et al., 2013, Curr. Biol. 23(8): 644--655 (flybase.org/reports/FBrf0221438)</t>
        </is>
      </c>
      <c r="F655" t="inlineStr"/>
      <c r="G655" t="inlineStr"/>
      <c r="H655" t="inlineStr"/>
    </row>
    <row r="656">
      <c r="A656">
        <f>HYPERLINK("https://www.ebi.ac.uk/ols/ontologies/fbbt/terms?iri=http://purl.obolibrary.org/obo/FBbt_00047721","FBbt:00047721")</f>
        <v/>
      </c>
      <c r="B656" t="inlineStr">
        <is>
          <t>lateral antennal lobe tract projection neuron 1</t>
        </is>
      </c>
      <c r="C656" t="inlineStr">
        <is>
          <t>AL-lPN1</t>
        </is>
      </c>
      <c r="D656" t="inlineStr">
        <is>
          <t>Adult unilateral, uniglomerular antennal lobe (AL) projection neuron that terminates in both the mushroom body calyx and the lateral horn. Two of these cells were identified by Tanaka et al., 2012, with cell bodies lateral to the AL. These make glomerular arborizations in the AL. They bifurcate close to the glomerulus they innervate, sending a branch to join the lALT. This branch arborizes in the medial lateral horn and the anterior part of the mushroom body calyx.</t>
        </is>
      </c>
      <c r="E656" t="inlineStr">
        <is>
          <t>Tanaka et al., 2012, J. Comp. Neurol. 520(18): 4067--4130 (flybase.org/reports/FBrf0219809)</t>
        </is>
      </c>
      <c r="F656" t="inlineStr"/>
      <c r="G656" t="inlineStr"/>
      <c r="H656" t="inlineStr"/>
    </row>
    <row r="657">
      <c r="A657">
        <f>HYPERLINK("https://www.ebi.ac.uk/ols/ontologies/fbbt/terms?iri=http://purl.obolibrary.org/obo/FBbt_00003908","FBbt:00003908")</f>
        <v/>
      </c>
      <c r="B657" t="inlineStr">
        <is>
          <t>lobula plate tangential neuron Lpt1</t>
        </is>
      </c>
      <c r="C657" t="inlineStr">
        <is>
          <t>Lpt1; lobular plate tangential neuron Lpt1</t>
        </is>
      </c>
      <c r="D657" t="inlineStr">
        <is>
          <t>A lobula plate tangential neuron that projects along and arborizes in lobula plate layer 4. This arborization remains very close to the projection and includes both bleb-type and fine terminals.</t>
        </is>
      </c>
      <c r="E657" t="inlineStr">
        <is>
          <t>Fischbach and Dittrich, 1989, Cell Tissue Res. 258(3): 441--475 (flybase.org/reports/FBrf0049410)</t>
        </is>
      </c>
      <c r="F657" t="inlineStr"/>
      <c r="G657" t="inlineStr"/>
      <c r="H657" t="inlineStr"/>
    </row>
    <row r="658">
      <c r="A658">
        <f>HYPERLINK("https://www.ebi.ac.uk/ols/ontologies/fbbt/terms?iri=http://purl.obolibrary.org/obo/FBbt_00111750","FBbt:00111750")</f>
        <v/>
      </c>
      <c r="B658" t="inlineStr">
        <is>
          <t>lobula columnar neuron LC15</t>
        </is>
      </c>
      <c r="C658" t="inlineStr">
        <is>
          <t>None</t>
        </is>
      </c>
      <c r="D658" t="inlineStr">
        <is>
          <t>An extrinsic columnar neuron whose cell body lies in the ventral area of the lateral cell body rind. It has a complex multilayer pattern in the lobula, with dense arbors in layers 2/3, 3/4, 5A/5B and 5B/6. Presynaptic sites are observed in layers 4 and 5. It projects to the most lateral of the dorsal optic glomeruli of the PVLP, ventral to LC16. There are around 70 cells of this type.</t>
        </is>
      </c>
      <c r="E658" t="inlineStr">
        <is>
          <t>Panser et al., 2016, Curr. Biol. 26(15): 1943--1954 (flybase.org/reports/FBrf0233032); Wu et al., 2016, eLife 5: e21022 (flybase.org/reports/FBrf0234700)</t>
        </is>
      </c>
      <c r="F658" t="inlineStr"/>
      <c r="G658" t="inlineStr"/>
      <c r="H658" t="inlineStr"/>
    </row>
    <row r="659">
      <c r="A659">
        <f>HYPERLINK("https://www.ebi.ac.uk/ols/ontologies/fbbt/terms?iri=http://purl.obolibrary.org/obo/FBbt_00047724","FBbt:00047724")</f>
        <v/>
      </c>
      <c r="B659" t="inlineStr">
        <is>
          <t>lateral antennal lobe tract projection neuron 4</t>
        </is>
      </c>
      <c r="C659" t="inlineStr">
        <is>
          <t>AL-lPN4</t>
        </is>
      </c>
      <c r="D659" t="inlineStr">
        <is>
          <t>Adult unilateral multiglomerular antennal lobe (AL) projection neuron, with both glomerular and non-glomerular arborizations within the AL. It cell body is found on the ventrolateral side of the AL, near the entry point of the antennal nerve. A branch joins the lALT and terminates in the dorsomedial part of the posterior ventrolateral protocerebrum, but does not overlap with the optic lobe glomeruli. A branch from this branch projects ventrally to the antennal mechanosensory and motor center and the gnathal ganglion. It does not project to the lateral horn. Only one cell of this type was identified by Tanaka et al., 2012.</t>
        </is>
      </c>
      <c r="E659" t="inlineStr">
        <is>
          <t>Tanaka et al., 2012, J. Comp. Neurol. 520(18): 4067--4130 (flybase.org/reports/FBrf0219809)</t>
        </is>
      </c>
      <c r="F659" t="inlineStr"/>
      <c r="G659" t="inlineStr"/>
      <c r="H659" t="inlineStr"/>
    </row>
    <row r="660">
      <c r="A660">
        <f>HYPERLINK("https://www.ebi.ac.uk/ols/ontologies/fbbt/terms?iri=http://purl.obolibrary.org/obo/FBbt_00111753","FBbt:00111753")</f>
        <v/>
      </c>
      <c r="B660" t="inlineStr">
        <is>
          <t>lobula columnar neuron LC18</t>
        </is>
      </c>
      <c r="C660" t="inlineStr">
        <is>
          <t>None</t>
        </is>
      </c>
      <c r="D660" t="inlineStr">
        <is>
          <t>An extrinsic columnar neuron whose cell body lies along the dorsal posterior surface of the lobula, in the lobula rind. It has its main arbors in lobula layers 2 (proximal region, near the boundary with layer 3), and in the boundary of layers 3/4. Presynaptic sites are observed in layers 3 and 4. It projects to the ventral optic glomeruli of the PVLP, dorsal to LC12. There are around 94 cells of this type.</t>
        </is>
      </c>
      <c r="E660" t="inlineStr">
        <is>
          <t>Panser et al., 2016, Curr. Biol. 26(15): 1943--1954 (flybase.org/reports/FBrf0233032); Wu et al., 2016, eLife 5: e21022 (flybase.org/reports/FBrf0234700)</t>
        </is>
      </c>
      <c r="F660" t="inlineStr"/>
      <c r="G660" t="inlineStr"/>
      <c r="H660" t="inlineStr"/>
    </row>
    <row r="661">
      <c r="A661">
        <f>HYPERLINK("https://www.ebi.ac.uk/ols/ontologies/fbbt/terms?iri=http://purl.obolibrary.org/obo/FBbt_00110597","FBbt:00110597")</f>
        <v/>
      </c>
      <c r="B661" t="inlineStr">
        <is>
          <t>adult fruitless aSP-b (male) neuron</t>
        </is>
      </c>
      <c r="C661" t="inlineStr">
        <is>
          <t>fru-aSP1 neuron; aSP1 neuron; aSP-b neuron</t>
        </is>
      </c>
      <c r="D661" t="inlineStr">
        <is>
          <t>Any neuron (FBbt:00005106) that is part of some adult fruitless aSP-b (male) lineage clone (FBbt:00110596) and that develops from some neuroblast SMPad2 (FBbt:00050201) and that is part of some male organism (FBbt:00007004).</t>
        </is>
      </c>
      <c r="E661" t="inlineStr">
        <is>
          <t>Lee et al., 2000, J. Neurobiol. 43(4): 404--426 (flybase.org/reports/FBrf0128543); Kimura et al., 2008, Neuron 59(5): 759--769 (flybase.org/reports/FBrf0205974); Yu et al., 2010, Curr. Biol. 20(18): 1602--1614 (flybase.org/reports/FBrf0211884); Cachero et al., 2010, Curr. Biol. 20(18): 1589--1601 (flybase.org/reports/FBrf0211926); Yu et al., 2013, Curr. Biol. 23(8): 633--643 (flybase.org/reports/FBrf0221412); Ito et al., 2013, Curr. Biol. 23(8): 644--655 (flybase.org/reports/FBrf0221438)</t>
        </is>
      </c>
      <c r="F661" t="inlineStr"/>
      <c r="G661" t="inlineStr"/>
      <c r="H661" t="inlineStr"/>
    </row>
    <row r="662">
      <c r="A662">
        <f>HYPERLINK("https://www.ebi.ac.uk/ols/ontologies/fbbt/terms?iri=http://purl.obolibrary.org/obo/FBbt_00003906","FBbt:00003906")</f>
        <v/>
      </c>
      <c r="B662" t="inlineStr">
        <is>
          <t>lobula plate giant neuron</t>
        </is>
      </c>
      <c r="C662" t="inlineStr">
        <is>
          <t>Lpgn; lobular plate giant neuron</t>
        </is>
      </c>
      <c r="D662" t="inlineStr">
        <is>
          <t>A very large optic lobe tangential neuron with extensive arborization in the lobula plate.</t>
        </is>
      </c>
      <c r="E662" t="inlineStr">
        <is>
          <t>Fischbach and Dittrich, 1989, Cell Tissue Res. 258(3): 441--475 (flybase.org/reports/FBrf0049410); Scott et al., 2002, J. Comp. Neurol. 454(4): 470--481 (flybase.org/reports/FBrf0155898)</t>
        </is>
      </c>
      <c r="F662" t="inlineStr"/>
      <c r="G662" t="inlineStr"/>
      <c r="H662" t="inlineStr"/>
    </row>
    <row r="663">
      <c r="A663">
        <f>HYPERLINK("https://www.ebi.ac.uk/ols/ontologies/fbbt/terms?iri=http://purl.obolibrary.org/obo/FBbt_00047723","FBbt:00047723")</f>
        <v/>
      </c>
      <c r="B663" t="inlineStr">
        <is>
          <t>lateral antennal lobe tract projection neuron 3</t>
        </is>
      </c>
      <c r="C663" t="inlineStr">
        <is>
          <t>AL-lPN3</t>
        </is>
      </c>
      <c r="D663" t="inlineStr">
        <is>
          <t>Adult bilateral multiglomerular antennal lobe (AL) projection neuron. Some branches project to the contralateral AL via the AL commissure. Its cell body is located in the cell body rind of the gnathal ganglion, near the midline, but no arborization is seen between the cell body and the antennal lobe. It bifurcates in the gnathal ganglion, with one fiber crossing the midline to the contralateral AL. The ipsilateral fiber bifurcates, with one fiber arborizing in multiple glomeruli, in a non-glomerular pattern, and one entering the lateral AL tract and projecting to the ventromedial lateral horn. Only one cell of this type was identified by Tanaka et al., 2012.</t>
        </is>
      </c>
      <c r="E663" t="inlineStr">
        <is>
          <t>Tanaka et al., 2012, J. Comp. Neurol. 520(18): 4067--4130 (flybase.org/reports/FBrf0219809)</t>
        </is>
      </c>
      <c r="F663" t="inlineStr"/>
      <c r="G663" t="inlineStr"/>
      <c r="H663" t="inlineStr"/>
    </row>
    <row r="664">
      <c r="A664">
        <f>HYPERLINK("https://www.ebi.ac.uk/ols/ontologies/fbbt/terms?iri=http://purl.obolibrary.org/obo/FBbt_00110453","FBbt:00110453")</f>
        <v/>
      </c>
      <c r="B664" t="inlineStr">
        <is>
          <t>adult fruitless aSP-c neuron</t>
        </is>
      </c>
      <c r="C664" t="inlineStr">
        <is>
          <t>aSP-c neuron</t>
        </is>
      </c>
      <c r="D664" t="inlineStr">
        <is>
          <t>Any neuron (FBbt:00005106) that is part of some adult fruitless aSP-c lineage clone (FBbt:00110452) and that develops from some neuroblast SMPad4 (FBbt:00110411).</t>
        </is>
      </c>
      <c r="E664" t="inlineStr">
        <is>
          <t>Cachero et al., 2010, Curr. Biol. 20(18): 1589--1601 (flybase.org/reports/FBrf0211926); Ito et al., 2013, Curr. Biol. 23(8): 644--655 (flybase.org/reports/FBrf0221438)</t>
        </is>
      </c>
      <c r="F664" t="inlineStr"/>
      <c r="G664" t="inlineStr"/>
      <c r="H664" t="inlineStr"/>
    </row>
    <row r="665">
      <c r="A665">
        <f>HYPERLINK("https://www.ebi.ac.uk/ols/ontologies/fbbt/terms?iri=http://purl.obolibrary.org/obo/FBbt_00111752","FBbt:00111752")</f>
        <v/>
      </c>
      <c r="B665" t="inlineStr">
        <is>
          <t>lobula columnar neuron LC17</t>
        </is>
      </c>
      <c r="C665" t="inlineStr">
        <is>
          <t>None</t>
        </is>
      </c>
      <c r="D665" t="inlineStr">
        <is>
          <t>An extrinsic columnar neuron whose cell body lies in the anterior area of the lateral cell body rind. It has its denser dendritic arbors in the boundary between lobula layers 2/3, and some diffuse branches near 3/4 and 5B. It projects to the most lateral of the ventral optic glomeruli of the PVLP, ventral to LC12. There are around 181 cells of this type.</t>
        </is>
      </c>
      <c r="E665" t="inlineStr">
        <is>
          <t>Panser et al., 2016, Curr. Biol. 26(15): 1943--1954 (flybase.org/reports/FBrf0233032); Wu et al., 2016, eLife 5: e21022 (flybase.org/reports/FBrf0234700)</t>
        </is>
      </c>
      <c r="F665" t="inlineStr"/>
      <c r="G665" t="inlineStr"/>
      <c r="H665" t="inlineStr"/>
    </row>
    <row r="666">
      <c r="A666">
        <f>HYPERLINK("https://www.ebi.ac.uk/ols/ontologies/fbbt/terms?iri=http://purl.obolibrary.org/obo/FBbt_00110128","FBbt:00110128")</f>
        <v/>
      </c>
      <c r="B666" t="inlineStr">
        <is>
          <t>VUM neuron of the dopaminergic GNG cluster</t>
        </is>
      </c>
      <c r="C666" t="inlineStr">
        <is>
          <t>TH-VUM; dopaminergic VUM neuron</t>
        </is>
      </c>
      <c r="D666" t="inlineStr">
        <is>
          <t>Unpaired dopaminergic neuron whose cell body is located ventromedially in the gnathal ganglion of the adult brain. It arborizes extensively in the ventroanterior area of the subesophageal zone with presynaptic terminals found throughout. It is involved in modulating the proboscis extension response (PER) with its activity being sufficient to trigger PER (Marella et al., 2012).</t>
        </is>
      </c>
      <c r="E666" t="inlineStr">
        <is>
          <t>Marella et al., 2012, Neuron 73(5): 941--950 (flybase.org/reports/FBrf0217751)</t>
        </is>
      </c>
      <c r="F666" t="inlineStr"/>
      <c r="G666" t="inlineStr"/>
      <c r="H666" t="inlineStr"/>
    </row>
    <row r="667">
      <c r="A667">
        <f>HYPERLINK("https://www.ebi.ac.uk/ols/ontologies/fbbt/terms?iri=http://purl.obolibrary.org/obo/FBbt_00110545","FBbt:00110545")</f>
        <v/>
      </c>
      <c r="B667" t="inlineStr">
        <is>
          <t>adult fruitless aIP2 neuron</t>
        </is>
      </c>
      <c r="C667" t="inlineStr">
        <is>
          <t>aIP2 neuron; fru-AL neuron</t>
        </is>
      </c>
      <c r="D667" t="inlineStr">
        <is>
          <t>Any neuron (FBbt:00005106) that is part of some adult fruitless aIP2 lineage clone (FBbt:00110544).</t>
        </is>
      </c>
      <c r="E667" t="inlineStr">
        <is>
          <t>Lee et al., 2000, J. Neurobiol. 43(4): 404--426 (flybase.org/reports/FBrf0128543); Yu et al., 2010, Curr. Biol. 20(18): 1602--1614 (flybase.org/reports/FBrf0211884)</t>
        </is>
      </c>
      <c r="F667" t="inlineStr"/>
      <c r="G667" t="inlineStr"/>
      <c r="H667" t="inlineStr"/>
    </row>
    <row r="668">
      <c r="A668">
        <f>HYPERLINK("https://www.ebi.ac.uk/ols/ontologies/fbbt/terms?iri=http://purl.obolibrary.org/obo/FBbt_00048125","FBbt:00048125")</f>
        <v/>
      </c>
      <c r="B668" t="inlineStr">
        <is>
          <t>centrifugal horizontal neuron</t>
        </is>
      </c>
      <c r="C668" t="inlineStr">
        <is>
          <t>centrifugal horizontal cell; CH cell</t>
        </is>
      </c>
      <c r="D668" t="inlineStr">
        <is>
          <t>Tangential cell of the horizontal system that innervates in the contralateral hemisphere. There are two of these cells and between them they arborize throughout lobula plate layer 1 with significant overlap. They also have dense arborization of the posterior slope (Boergens et al., 2018).</t>
        </is>
      </c>
      <c r="E668" t="inlineStr">
        <is>
          <t>Boergens et al., 2018, PLoS ONE 13(11): e0207828 (flybase.org/reports/FBrf0240805)</t>
        </is>
      </c>
      <c r="F668" t="inlineStr"/>
      <c r="G668" t="inlineStr"/>
      <c r="H668" t="inlineStr"/>
    </row>
    <row r="669">
      <c r="A669">
        <f>HYPERLINK("https://www.ebi.ac.uk/ols/ontologies/fbbt/terms?iri=http://purl.obolibrary.org/obo/FBbt_00111760","FBbt:00111760")</f>
        <v/>
      </c>
      <c r="B669" t="inlineStr">
        <is>
          <t>lobula columnar neuron LC25</t>
        </is>
      </c>
      <c r="C669" t="inlineStr">
        <is>
          <t>None</t>
        </is>
      </c>
      <c r="D669" t="inlineStr">
        <is>
          <t>An extrinsic columnar neuron whose cell body lies in the ventral area of the lateral cell body rind. It has its main dendritic arbors in lobula layer boundary 5A/5B, with some processes extending deeper. Presynaptic sites are observed in the boundary 5A/5B. It projects to region near the LC15 optic glomerulus of the PVLP. There are around 45 cells of this type.</t>
        </is>
      </c>
      <c r="E669" t="inlineStr">
        <is>
          <t>Wu et al., 2016, eLife 5: e21022 (flybase.org/reports/FBrf0234700)</t>
        </is>
      </c>
      <c r="F669" t="inlineStr"/>
      <c r="G669" t="inlineStr"/>
      <c r="H669" t="inlineStr"/>
    </row>
    <row r="670">
      <c r="A670">
        <f>HYPERLINK("https://www.ebi.ac.uk/ols/ontologies/fbbt/terms?iri=http://purl.obolibrary.org/obo/FBbt_00003917","FBbt:00003917")</f>
        <v/>
      </c>
      <c r="B670" t="inlineStr">
        <is>
          <t>horizontal system neuron</t>
        </is>
      </c>
      <c r="C670" t="inlineStr">
        <is>
          <t>giant horizontal cell; HS cell</t>
        </is>
      </c>
      <c r="D670" t="inlineStr">
        <is>
          <t>Giant neuron whose arbor fans out widely over the dorsal, central or ventral part of lobula plate layer 1. The dendritic arborization in the lobula plate is flattened in the anterior-posterior axis, and the axon extends medially and ventrally to innervate the adult protocerebrum (Scott et al., 2002). It is involved in the optomotor response (Heisenberg et al., 1978) (Schnell et al., 2010) and respond to horizontal motion with graded membrane potential changes in a directional-selective way (Schnell et al., 2010).</t>
        </is>
      </c>
      <c r="E670" t="inlineStr">
        <is>
          <t>Heisenberg et al., 1978, J. Comp. Physiol. 124(4): 287--296 (flybase.org/reports/FBrf0032046); Fischbach and Dittrich, 1989, Cell Tissue Res. 258(3): 441--475 (flybase.org/reports/FBrf0049410); Scott et al., 2002, J. Comp. Neurol. 454(4): 470--481 (flybase.org/reports/FBrf0155898); Rajashekhar and Shamprasad, 2004, J. Biosci., Bangalore 29(1): 93--104 (flybase.org/reports/FBrf0179400); Raghu et al., 2007, J. Comp. Neurol. 502(4): 598--610 (flybase.org/reports/FBrf0200428); Raghu et al., 2009, J. Neurogenet. 23(1): 200--209 (flybase.org/reports/FBrf0207482); Schnell et al., 2010, J. Neurophysiol. 103(3): 1646--1657 (flybase.org/reports/FBrf0210299)</t>
        </is>
      </c>
      <c r="F670" t="inlineStr"/>
      <c r="G670" t="inlineStr"/>
      <c r="H670" t="inlineStr"/>
    </row>
    <row r="671">
      <c r="A671">
        <f>HYPERLINK("https://www.ebi.ac.uk/ols/ontologies/fbbt/terms?iri=http://purl.obolibrary.org/obo/FBbt_00110527","FBbt:00110527")</f>
        <v/>
      </c>
      <c r="B671" t="inlineStr">
        <is>
          <t>adult fruitless pSP-c neuron</t>
        </is>
      </c>
      <c r="C671" t="inlineStr">
        <is>
          <t>pSP-c neuron</t>
        </is>
      </c>
      <c r="D671" t="inlineStr">
        <is>
          <t>Any neuron (FBbt:00005106) that is part of some adult fruitless pSP-c lineage clone (FBbt:00110526) and that develops from some neuroblast LHp2 (FBbt:00050139).</t>
        </is>
      </c>
      <c r="E671" t="inlineStr">
        <is>
          <t>Cachero et al., 2010, Curr. Biol. 20(18): 1589--1601 (flybase.org/reports/FBrf0211926); Yu et al., 2013, Curr. Biol. 23(8): 633--643 (flybase.org/reports/FBrf0221412); Ito et al., 2013, Curr. Biol. 23(8): 644--655 (flybase.org/reports/FBrf0221438)</t>
        </is>
      </c>
      <c r="F671" t="inlineStr"/>
      <c r="G671" t="inlineStr"/>
      <c r="H671" t="inlineStr"/>
    </row>
    <row r="672">
      <c r="A672">
        <f>HYPERLINK("https://www.ebi.ac.uk/ols/ontologies/fbbt/terms?iri=http://purl.obolibrary.org/obo/FBbt_00110547","FBbt:00110547")</f>
        <v/>
      </c>
      <c r="B672" t="inlineStr">
        <is>
          <t>adult fruitless aIP3 neuron</t>
        </is>
      </c>
      <c r="C672" t="inlineStr">
        <is>
          <t>fru-AL neuron; aIP3 neuron</t>
        </is>
      </c>
      <c r="D672" t="inlineStr">
        <is>
          <t>Any neuron (FBbt:00005106) that is part of some adult fruitless aIP3 lineage clone (FBbt:00110546).</t>
        </is>
      </c>
      <c r="E672" t="inlineStr">
        <is>
          <t>Lee et al., 2000, J. Neurobiol. 43(4): 404--426 (flybase.org/reports/FBrf0128543); Yu et al., 2010, Curr. Biol. 20(18): 1602--1614 (flybase.org/reports/FBrf0211884)</t>
        </is>
      </c>
      <c r="F672" t="inlineStr"/>
      <c r="G672" t="inlineStr"/>
      <c r="H672" t="inlineStr"/>
    </row>
    <row r="673">
      <c r="A673">
        <f>HYPERLINK("https://www.ebi.ac.uk/ols/ontologies/fbbt/terms?iri=http://purl.obolibrary.org/obo/FBbt_00111761","FBbt:00111761")</f>
        <v/>
      </c>
      <c r="B673" t="inlineStr">
        <is>
          <t>lobula columnar neuron LC26</t>
        </is>
      </c>
      <c r="C673" t="inlineStr">
        <is>
          <t>None</t>
        </is>
      </c>
      <c r="D673" t="inlineStr">
        <is>
          <t>An extrinsic columnar neuron whose cell body lies in the ventral area of the lateral cell body rind. It has its main dendritic arbors in lobula layers 4 and 5B, with minor processes in 5A and 6. It projects to a small glomerulus in the dorsal group of optic glomeruli of the PVLP, lateral to LC24. There are around 37 cells of this type.</t>
        </is>
      </c>
      <c r="E673" t="inlineStr">
        <is>
          <t>Wu et al., 2016, eLife 5: e21022 (flybase.org/reports/FBrf0234700)</t>
        </is>
      </c>
      <c r="F673" t="inlineStr"/>
      <c r="G673" t="inlineStr"/>
      <c r="H673" t="inlineStr"/>
    </row>
    <row r="674">
      <c r="A674">
        <f>HYPERLINK("https://www.ebi.ac.uk/ols/ontologies/fbbt/terms?iri=http://purl.obolibrary.org/obo/FBbt_00048268","FBbt:00048268")</f>
        <v/>
      </c>
      <c r="B674" t="inlineStr">
        <is>
          <t>APM neuron of the dopaminergic GNG cluster</t>
        </is>
      </c>
      <c r="C674" t="inlineStr">
        <is>
          <t>AMP-R; AMP-L</t>
        </is>
      </c>
      <c r="D674" t="inlineStr">
        <is>
          <t>Dopaminergic neuron whose cell body is located in the ventral gnathal ganglion of the adult brain. It arborizes in one half of the subesophageal zone and the antennal lobe (Marella et al., 2012).</t>
        </is>
      </c>
      <c r="E674" t="inlineStr">
        <is>
          <t>Marella et al., 2012, Neuron 73(5): 941--950 (flybase.org/reports/FBrf0217751)</t>
        </is>
      </c>
      <c r="F674" t="inlineStr"/>
      <c r="G674" t="inlineStr"/>
      <c r="H674" t="inlineStr"/>
    </row>
    <row r="675">
      <c r="A675">
        <f>HYPERLINK("https://www.ebi.ac.uk/ols/ontologies/fbbt/terms?iri=http://purl.obolibrary.org/obo/FBbt_00048267","FBbt:00048267")</f>
        <v/>
      </c>
      <c r="B675" t="inlineStr">
        <is>
          <t>AUM neuron of the dopaminergic GNG cluster</t>
        </is>
      </c>
      <c r="C675" t="inlineStr">
        <is>
          <t>anterior unpaired neuron</t>
        </is>
      </c>
      <c r="D675" t="inlineStr">
        <is>
          <t>Unpaired dopaminergic neuron whose cell body is located anterior to the dopaminergic VUM neuron in the ventral gnathal ganglion of the adult brain. It arborizes in a similar pattern to the dopaminergic VUM neuron in the subesophageal zone, but it also extends beyond this region (Marella et al., 2012).</t>
        </is>
      </c>
      <c r="E675" t="inlineStr">
        <is>
          <t>Marella et al., 2012, Neuron 73(5): 941--950 (flybase.org/reports/FBrf0217751)</t>
        </is>
      </c>
      <c r="F675" t="inlineStr"/>
      <c r="G675" t="inlineStr"/>
      <c r="H675" t="inlineStr"/>
    </row>
    <row r="676">
      <c r="A676">
        <f>HYPERLINK("https://www.ebi.ac.uk/ols/ontologies/fbbt/terms?iri=http://purl.obolibrary.org/obo/FBbt_00100489","FBbt:00100489")</f>
        <v/>
      </c>
      <c r="B676" t="inlineStr">
        <is>
          <t>lobula tangential neuron Lt31</t>
        </is>
      </c>
      <c r="C676" t="inlineStr">
        <is>
          <t>LT31</t>
        </is>
      </c>
      <c r="D676" t="inlineStr">
        <is>
          <t>A lobula tangential neuron whose cell body is located in the central brain cortex, posterior to the posterior lateral protocerebrum (plpr). The cell body fiber runs anteriorly through the plpr neuropil and bifurcates in the ventrolateral protocerebrum. The lateral branch makes a turn and runs ventroposterior towards the neck of the lobula. From there the neuron forms extensive tree-like branches in lobula layer 4. The medial branch makes a right-angle turn to run ventroposterior towards the posterior plpr. It forms terminals in the area that is close to the position of the cell body. There is only a single neuron in this class per hemisphere.</t>
        </is>
      </c>
      <c r="E676" t="inlineStr">
        <is>
          <t>Otsuna and Ito, 2006, J. Comp. Neurol. 497(6): 928--958 (flybase.org/reports/FBrf0193607)</t>
        </is>
      </c>
      <c r="F676" t="inlineStr"/>
      <c r="G676" t="inlineStr"/>
      <c r="H676" t="inlineStr"/>
    </row>
    <row r="677">
      <c r="A677">
        <f>HYPERLINK("https://www.ebi.ac.uk/ols/ontologies/fbbt/terms?iri=http://purl.obolibrary.org/obo/FBbt_00003847","FBbt:00003847")</f>
        <v/>
      </c>
      <c r="B677" t="inlineStr">
        <is>
          <t>medullary tangential neuron Mt11</t>
        </is>
      </c>
      <c r="C677" t="inlineStr">
        <is>
          <t>Mt11</t>
        </is>
      </c>
      <c r="D677" t="inlineStr">
        <is>
          <t>Medullary tangential neuron that enters the medulla via Cuccatti's bundle at the level of the serpentine layer. It shows bleb-like terminals in the serpentine layer and medulla layer M6 and covers almost the whole visual field. It seems capable of both glutamatergic and GABAergic neurotransmission.</t>
        </is>
      </c>
      <c r="E677" t="inlineStr">
        <is>
          <t>Fischbach and Dittrich, 1989, Cell Tissue Res. 258(3): 441--475 (flybase.org/reports/FBrf0049410); Raghu and Borst, 2011, PLoS ONE 6(5): e19472 (flybase.org/reports/FBrf0213690); Raghu et al., 2013, J. Comp. Neurol. 521(1): 252--265 (flybase.org/reports/FBrf0220286)</t>
        </is>
      </c>
      <c r="F677" t="inlineStr"/>
      <c r="G677" t="inlineStr"/>
      <c r="H677" t="inlineStr"/>
    </row>
    <row r="678">
      <c r="A678">
        <f>HYPERLINK("https://www.ebi.ac.uk/ols/ontologies/fbbt/terms?iri=http://purl.obolibrary.org/obo/FBbt_00100486","FBbt:00100486")</f>
        <v/>
      </c>
      <c r="B678" t="inlineStr">
        <is>
          <t>lobula columnar neuron LC14</t>
        </is>
      </c>
      <c r="C678" t="inlineStr">
        <is>
          <t>Lcn14; DC neuron</t>
        </is>
      </c>
      <c r="D678" t="inlineStr">
        <is>
          <t>An extrinsic columnar neuron whose cell body lies in the dorsal area of the lateral cell body rind. It projects from the ipsilateral lobula, along the great commissure and contacts the surface of the contralateral lobula, but does not penetrate into any of its layers. Synaptic contacts are only observed in the lobula. There are 32-38 neurons in this group.</t>
        </is>
      </c>
      <c r="E678" t="inlineStr">
        <is>
          <t>Hassan et al., 2000, Neuron 25(3): 549--561 (flybase.org/reports/FBrf0127108); Otsuna and Ito, 2006, J. Comp. Neurol. 497(6): 928--958 (flybase.org/reports/FBrf0193607)</t>
        </is>
      </c>
      <c r="F678" t="inlineStr"/>
      <c r="G678" t="inlineStr"/>
      <c r="H678" t="inlineStr"/>
    </row>
    <row r="679">
      <c r="A679">
        <f>HYPERLINK("https://www.ebi.ac.uk/ols/ontologies/fbbt/terms?iri=http://purl.obolibrary.org/obo/FBbt_00100488","FBbt:00100488")</f>
        <v/>
      </c>
      <c r="B679" t="inlineStr">
        <is>
          <t>lobula tangential neuron Lt12</t>
        </is>
      </c>
      <c r="C679" t="inlineStr">
        <is>
          <t>LT12</t>
        </is>
      </c>
      <c r="D679" t="inlineStr">
        <is>
          <t>A lobula tangential neuron whose cell body is located in the anterior area of the lateral cell body region. The cell body fiber bifurcates at the neck of the lobula. The branch towards the lobula arborizes at the posterior edge of the lobula and enters the neuropil in lobula layer 4. The branch towards the central brain projects along the lobula/lobula-plate bundle and terminates in the medial ventrolateral protocerebrum. There is only one neuron of this type per hemisphere.</t>
        </is>
      </c>
      <c r="E679" t="inlineStr">
        <is>
          <t>Otsuna and Ito, 2006, J. Comp. Neurol. 497(6): 928--958 (flybase.org/reports/FBrf0193607)</t>
        </is>
      </c>
      <c r="F679" t="inlineStr"/>
      <c r="G679" t="inlineStr"/>
      <c r="H679" t="inlineStr"/>
    </row>
    <row r="680">
      <c r="A680">
        <f>HYPERLINK("https://www.ebi.ac.uk/ols/ontologies/fbbt/terms?iri=http://purl.obolibrary.org/obo/FBbt_00003848","FBbt:00003848")</f>
        <v/>
      </c>
      <c r="B680" t="inlineStr">
        <is>
          <t>medullary tangential neuron Mt12</t>
        </is>
      </c>
      <c r="C680" t="inlineStr">
        <is>
          <t>Mt12</t>
        </is>
      </c>
      <c r="D680" t="inlineStr">
        <is>
          <t>Medullary tangential neuron that innervates the proximal medulla.</t>
        </is>
      </c>
      <c r="E680" t="inlineStr">
        <is>
          <t>Fischbach and Dittrich, 1989, Cell Tissue Res. 258(3): 441--475 (flybase.org/reports/FBrf0049410)</t>
        </is>
      </c>
      <c r="F680" t="inlineStr"/>
      <c r="G680" t="inlineStr"/>
      <c r="H680" t="inlineStr"/>
    </row>
    <row r="681">
      <c r="A681">
        <f>HYPERLINK("https://www.ebi.ac.uk/ols/ontologies/fbbt/terms?iri=http://purl.obolibrary.org/obo/FBbt_00110100","FBbt:00110100")</f>
        <v/>
      </c>
      <c r="B681" t="inlineStr">
        <is>
          <t>lobula columnar neuron vGlutLcnnew2</t>
        </is>
      </c>
      <c r="C681" t="inlineStr">
        <is>
          <t>vGlutLcnnew2; Lcnnew2</t>
        </is>
      </c>
      <c r="D681" t="inlineStr">
        <is>
          <t>An extrinsic columnar neuron that arborizes in lobula layers 3, 4 and 5 and extends its processes to the central brain. It is a glutamatergic neuron (Raghu and Borst, 2011).</t>
        </is>
      </c>
      <c r="E681" t="inlineStr">
        <is>
          <t>Raghu and Borst, 2011, PLoS ONE 6(5): e19472 (flybase.org/reports/FBrf0213690)</t>
        </is>
      </c>
      <c r="F681" t="inlineStr"/>
      <c r="G681" t="inlineStr"/>
      <c r="H681" t="inlineStr"/>
    </row>
    <row r="682">
      <c r="A682">
        <f>HYPERLINK("https://www.ebi.ac.uk/ols/ontologies/fbbt/terms?iri=http://purl.obolibrary.org/obo/FBbt_00100485","FBbt:00100485")</f>
        <v/>
      </c>
      <c r="B682" t="inlineStr">
        <is>
          <t>lobula columnar neuron LC13</t>
        </is>
      </c>
      <c r="C682" t="inlineStr">
        <is>
          <t>Lcn13</t>
        </is>
      </c>
      <c r="D682" t="inlineStr">
        <is>
          <t>An extrinsic columnar neuron whose cell body lies in the ventral area of the lateral cell body rind. It has a complex multilayer pattern, with denser arbors in lobula layers 3 and 5B, and other arbors in layers 2, 4, 5A and 6. Presynaptic sites are observed in layers 3 and 4. It projects to a large, very posterior optic glomerulus of the PVLP, ventral to LC11. There are around 108 cells of this type.</t>
        </is>
      </c>
      <c r="E682" t="inlineStr">
        <is>
          <t>Otsuna and Ito, 2006, J. Comp. Neurol. 497(6): 928--958 (flybase.org/reports/FBrf0193607); Panser et al., 2016, Curr. Biol. 26(15): 1943--1954 (flybase.org/reports/FBrf0233032); Wu et al., 2016, eLife 5: e21022 (flybase.org/reports/FBrf0234700)</t>
        </is>
      </c>
      <c r="F682" t="inlineStr"/>
      <c r="G682" t="inlineStr"/>
      <c r="H682" t="inlineStr"/>
    </row>
    <row r="683">
      <c r="A683">
        <f>HYPERLINK("https://www.ebi.ac.uk/ols/ontologies/fbbt/terms?iri=http://purl.obolibrary.org/obo/FBbt_00100487","FBbt:00100487")</f>
        <v/>
      </c>
      <c r="B683" t="inlineStr">
        <is>
          <t>lobula tangential neuron Lt11</t>
        </is>
      </c>
      <c r="C683" t="inlineStr">
        <is>
          <t>lobular tangential neuron Lt11; LT11</t>
        </is>
      </c>
      <c r="D683" t="inlineStr">
        <is>
          <t>A lobula tangential neuron whose cell body is located in the anterior dorsal area of the lateral cell body region. It forms varicosities in lobula layers 3, 4 and 5, and in the ventrolateral protocerebrum. It is synapsed by Tm5a/b/c and Tm20 neurons, with a small number of synapses. There is only one neuron of this type per hemisphere.</t>
        </is>
      </c>
      <c r="E683" t="inlineStr">
        <is>
          <t>Otsuna and Ito, 2006, J. Comp. Neurol. 497(6): 928--958 (flybase.org/reports/FBrf0193607); Lin et al., 2016, J. Comp. Neurol. 524(2): 213--227 (flybase.org/reports/FBrf0230403)</t>
        </is>
      </c>
      <c r="F683" t="inlineStr"/>
      <c r="G683" t="inlineStr"/>
      <c r="H683" t="inlineStr"/>
    </row>
    <row r="684">
      <c r="A684">
        <f>HYPERLINK("https://www.ebi.ac.uk/ols/ontologies/fbbt/terms?iri=http://purl.obolibrary.org/obo/FBbt_00003845","FBbt:00003845")</f>
        <v/>
      </c>
      <c r="B684" t="inlineStr">
        <is>
          <t>medullary tangential neuron Mt9</t>
        </is>
      </c>
      <c r="C684" t="inlineStr">
        <is>
          <t>Mt9</t>
        </is>
      </c>
      <c r="D684" t="inlineStr">
        <is>
          <t>Medullary tangential neuron whose axon extends along the proximal side of the medulla, and then extends along the top of the medulla neuropil, only sparing the most posterior part of it. It displays bleb-like terminals throughout the top of medulla layer M1, with a few entering the proximal side of layer M2.</t>
        </is>
      </c>
      <c r="E684" t="inlineStr">
        <is>
          <t>Fischbach and Dittrich, 1989, Cell Tissue Res. 258(3): 441--475 (flybase.org/reports/FBrf0049410)</t>
        </is>
      </c>
      <c r="F684" t="inlineStr"/>
      <c r="G684" t="inlineStr"/>
      <c r="H684" t="inlineStr"/>
    </row>
    <row r="685">
      <c r="A685">
        <f>HYPERLINK("https://www.ebi.ac.uk/ols/ontologies/fbbt/terms?iri=http://purl.obolibrary.org/obo/FBbt_00100484","FBbt:00100484")</f>
        <v/>
      </c>
      <c r="B685" t="inlineStr">
        <is>
          <t>lobula columnar neuron LC12</t>
        </is>
      </c>
      <c r="C685" t="inlineStr">
        <is>
          <t>Lcn12</t>
        </is>
      </c>
      <c r="D685" t="inlineStr">
        <is>
          <t>An extrinsic columnar neuron whose cell body lies in the anterior area of the lateral cell body rind. It has its main dendritic arbors in lobula layers 2 (excluding most distal part) and 4, with connecting processes and some branches in layer 3. It projects to the second most lateral of the ventral optic glomerulus of the PVLP, medial to LC17. There are around 208 cells of this type.</t>
        </is>
      </c>
      <c r="E685" t="inlineStr">
        <is>
          <t>Otsuna and Ito, 2006, J. Comp. Neurol. 497(6): 928--958 (flybase.org/reports/FBrf0193607); Panser et al., 2016, Curr. Biol. 26(15): 1943--1954 (flybase.org/reports/FBrf0233032); Wu et al., 2016, eLife 5: e21022 (flybase.org/reports/FBrf0234700)</t>
        </is>
      </c>
      <c r="F685" t="inlineStr"/>
      <c r="G685" t="inlineStr"/>
      <c r="H685" t="inlineStr"/>
    </row>
    <row r="686">
      <c r="A686">
        <f>HYPERLINK("https://www.ebi.ac.uk/ols/ontologies/fbbt/terms?iri=http://purl.obolibrary.org/obo/FBbt_00003846","FBbt:00003846")</f>
        <v/>
      </c>
      <c r="B686" t="inlineStr">
        <is>
          <t>medullary tangential neuron Mt10</t>
        </is>
      </c>
      <c r="C686" t="inlineStr">
        <is>
          <t>Mt10</t>
        </is>
      </c>
      <c r="D686" t="inlineStr">
        <is>
          <t>Medullary tangential neuron that has bleb-like terminals in medulla layers M5 and M6. It is a cholinergic neuron (Varija Raghu et al., 2011).</t>
        </is>
      </c>
      <c r="E686" t="inlineStr">
        <is>
          <t>Fischbach and Dittrich, 1989, Cell Tissue Res. 258(3): 441--475 (flybase.org/reports/FBrf0049410); Varija Raghu et al., 2011, J. Comp. Neurol. 519(1): 162--176 (flybase.org/reports/FBrf0212356)</t>
        </is>
      </c>
      <c r="F686" t="inlineStr"/>
      <c r="G686" t="inlineStr"/>
      <c r="H686" t="inlineStr"/>
    </row>
    <row r="687">
      <c r="A687">
        <f>HYPERLINK("https://www.ebi.ac.uk/ols/ontologies/fbbt/terms?iri=http://purl.obolibrary.org/obo/FBbt_00007539","FBbt:00007539")</f>
        <v/>
      </c>
      <c r="B687" t="inlineStr">
        <is>
          <t>protocerebral bridge 18 glomeruli type 1 neuron</t>
        </is>
      </c>
      <c r="C687" t="inlineStr">
        <is>
          <t>protocerebral bridge intrinsic neuron 1; protocerebral bridge lateral neuron PBl; PBI1; PBR8,R1,L7 neuron; protocerebral bridge 16 glomeruli neuron; PB1; intrinsic large-field element of the pb; PBR7,L1,L8 neuron; PB16-glomeruli neuron; PB18.s-9i1i8c.b neuron</t>
        </is>
      </c>
      <c r="D687" t="inlineStr">
        <is>
          <t>Large field neuron of the central complex that is intrinsic to the protocerebral bridge. There are two of these neurons per hemisphere, with fibers forming a tiny chiasm at the midline (Hanesch et al., 1989). It has dendritic arbors in all 18 glomeruli and axon terminals distributed in three glomeruli that are seven glomeruli apart, resulting in neurons that have axonal terminals in the ipsilateral glomerulus 8 and contralateral glomeruli 1 and 9.</t>
        </is>
      </c>
      <c r="E687" t="inlineStr">
        <is>
          <t>Hanesch et al., 1989, Cell Tissue Res. 257(2): 343--366 (flybase.org/reports/FBrf0049409); Young and Armstrong, 2010, J. Comp. Neurol. 518(9): 1500--1524 (flybase.org/reports/FBrf0210154); Lin et al., 2013, Cell Rep. 3(5): 1739--1753 (flybase.org/reports/FBrf0221742); Wolff et al., 2015, J. Comp. Neurol. 523(7): 997--1037 (flybase.org/reports/FBrf0227801)</t>
        </is>
      </c>
      <c r="F687" t="inlineStr"/>
      <c r="G687" t="inlineStr"/>
      <c r="H687" t="inlineStr"/>
    </row>
    <row r="688">
      <c r="A688">
        <f>HYPERLINK("https://www.ebi.ac.uk/ols/ontologies/fbbt/terms?iri=http://purl.obolibrary.org/obo/FBbt_00100483","FBbt:00100483")</f>
        <v/>
      </c>
      <c r="B688" t="inlineStr">
        <is>
          <t>lobula columnar neuron LC11</t>
        </is>
      </c>
      <c r="C688" t="inlineStr">
        <is>
          <t>L1CN; Lcn11</t>
        </is>
      </c>
      <c r="D688" t="inlineStr">
        <is>
          <t>An extrinsic columnar neuron whose cell body lies in the dorsal area of the lateral cell body rind It has its main dendritic arbors in lobula layers 2 (excluding most distal part), 3, 4 and 5B (from recurrent branches). Presynaptic sites are observed in layers 4 and 5B. It projects to an elongated optic glomerulus in the PVLP, located in an intermediate position between the dorsal LC6 (Lcn6) and the ventral LC4 (Lcn4) glomeruli. There are around 68 cells of this type.</t>
        </is>
      </c>
      <c r="E688" t="inlineStr">
        <is>
          <t>Otsuna and Ito, 2006, J. Comp. Neurol. 497(6): 928--958 (flybase.org/reports/FBrf0193607); Panser et al., 2016, Curr. Biol. 26(15): 1943--1954 (flybase.org/reports/FBrf0233032); Wu et al., 2016, eLife 5: e21022 (flybase.org/reports/FBrf0234700)</t>
        </is>
      </c>
      <c r="F688" t="inlineStr"/>
      <c r="G688" t="inlineStr"/>
      <c r="H688" t="inlineStr"/>
    </row>
    <row r="689">
      <c r="A689">
        <f>HYPERLINK("https://www.ebi.ac.uk/ols/ontologies/fbbt/terms?iri=http://purl.obolibrary.org/obo/FBbt_00110541","FBbt:00110541")</f>
        <v/>
      </c>
      <c r="B689" t="inlineStr">
        <is>
          <t>adult fruitless aDT7 neuron</t>
        </is>
      </c>
      <c r="C689" t="inlineStr">
        <is>
          <t>aDT7 neuron; fru-mcAL neuron</t>
        </is>
      </c>
      <c r="D689" t="inlineStr">
        <is>
          <t>Any neuron (FBbt:00005106) that is part of some adult fruitless aDT7 lineage clone (FBbt:00110540).</t>
        </is>
      </c>
      <c r="E689" t="inlineStr">
        <is>
          <t>Lee et al., 2000, J. Neurobiol. 43(4): 404--426 (flybase.org/reports/FBrf0128543); Yu et al., 2010, Curr. Biol. 20(18): 1602--1614 (flybase.org/reports/FBrf0211884)</t>
        </is>
      </c>
      <c r="F689" t="inlineStr"/>
      <c r="G689" t="inlineStr"/>
      <c r="H689" t="inlineStr"/>
    </row>
    <row r="690">
      <c r="A690">
        <f>HYPERLINK("https://www.ebi.ac.uk/ols/ontologies/fbbt/terms?iri=http://purl.obolibrary.org/obo/FBbt_00100482","FBbt:00100482")</f>
        <v/>
      </c>
      <c r="B690" t="inlineStr">
        <is>
          <t>lobula columnar neuron LC10</t>
        </is>
      </c>
      <c r="C690" t="inlineStr">
        <is>
          <t>Lcn10; S3</t>
        </is>
      </c>
      <c r="D690" t="inlineStr">
        <is>
          <t>An extrinsic columnar neuron whose cell body lies in the dorsal region of the lateral cell body region. Its axon crosses ipsilaterally along the anterior optic tract, projecting to the anterior optic tubercle (AOTU). There are 2 main subtypes, which differ in how they project in the AOTU. For each subtype the relative order of the terminals along the dorsal/ventral axis of the AOTU matches the order along the anterior/posterior axis in the lobula.</t>
        </is>
      </c>
      <c r="E690" t="inlineStr">
        <is>
          <t>Otsuna and Ito, 2006, J. Comp. Neurol. 497(6): 928--958 (flybase.org/reports/FBrf0193607); Panser et al., 2016, Curr. Biol. 26(15): 1943--1954 (flybase.org/reports/FBrf0233032); Wu et al., 2016, eLife 5: e21022 (flybase.org/reports/FBrf0234700)</t>
        </is>
      </c>
      <c r="F690" t="inlineStr"/>
      <c r="G690" t="inlineStr"/>
      <c r="H690" t="inlineStr"/>
    </row>
    <row r="691">
      <c r="A691">
        <f>HYPERLINK("https://www.ebi.ac.uk/ols/ontologies/fbbt/terms?iri=http://purl.obolibrary.org/obo/FBbt_00003842","FBbt:00003842")</f>
        <v/>
      </c>
      <c r="B691" t="inlineStr">
        <is>
          <t>medullary tangential neuron Mt6</t>
        </is>
      </c>
      <c r="C691" t="inlineStr">
        <is>
          <t>Mt6</t>
        </is>
      </c>
      <c r="D691" t="inlineStr">
        <is>
          <t>Medullary tangential neuron that arborizes in the medulla.</t>
        </is>
      </c>
      <c r="E691" t="inlineStr">
        <is>
          <t>Fischbach and Dittrich, 1989, Cell Tissue Res. 258(3): 441--475 (flybase.org/reports/FBrf0049410)</t>
        </is>
      </c>
      <c r="F691" t="inlineStr"/>
      <c r="G691" t="inlineStr"/>
      <c r="H691" t="inlineStr"/>
    </row>
    <row r="692">
      <c r="A692">
        <f>HYPERLINK("https://www.ebi.ac.uk/ols/ontologies/fbbt/terms?iri=http://purl.obolibrary.org/obo/FBbt_00003844","FBbt:00003844")</f>
        <v/>
      </c>
      <c r="B692" t="inlineStr">
        <is>
          <t>medullary tangential neuron Mt8</t>
        </is>
      </c>
      <c r="C692" t="inlineStr">
        <is>
          <t>None</t>
        </is>
      </c>
      <c r="D692" t="inlineStr">
        <is>
          <t>Medullary tangential neuron that arborizes in the medulla.</t>
        </is>
      </c>
      <c r="E692" t="inlineStr">
        <is>
          <t>Fischbach and Dittrich, 1989, Cell Tissue Res. 258(3): 441--475 (flybase.org/reports/FBrf0049410)</t>
        </is>
      </c>
      <c r="F692" t="inlineStr"/>
      <c r="G692" t="inlineStr"/>
      <c r="H692" t="inlineStr"/>
    </row>
    <row r="693">
      <c r="A693">
        <f>HYPERLINK("https://www.ebi.ac.uk/ols/ontologies/fbbt/terms?iri=http://purl.obolibrary.org/obo/FBbt_00003843","FBbt:00003843")</f>
        <v/>
      </c>
      <c r="B693" t="inlineStr">
        <is>
          <t>medullary tangential neuron Mt7</t>
        </is>
      </c>
      <c r="C693" t="inlineStr">
        <is>
          <t>Mt7</t>
        </is>
      </c>
      <c r="D693" t="inlineStr">
        <is>
          <t>Medullary tangential neuron that enters the medulla through its proximal face at the level of the serpentine layer. It shows extensive fine and bleb-like arborizations in medulla layers M4, M5, M6, the serpentine layer and M8. It is a GABAergic neuron.</t>
        </is>
      </c>
      <c r="E693" t="inlineStr">
        <is>
          <t>Fischbach and Dittrich, 1989, Cell Tissue Res. 258(3): 441--475 (flybase.org/reports/FBrf0049410); Raghu et al., 2013, J. Comp. Neurol. 521(1): 252--265 (flybase.org/reports/FBrf0220286)</t>
        </is>
      </c>
      <c r="F693" t="inlineStr"/>
      <c r="G693" t="inlineStr"/>
      <c r="H693" t="inlineStr"/>
    </row>
    <row r="694">
      <c r="A694">
        <f>HYPERLINK("https://www.ebi.ac.uk/ols/ontologies/fbbt/terms?iri=http://purl.obolibrary.org/obo/FBbt_00111051","FBbt:00111051")</f>
        <v/>
      </c>
      <c r="B694" t="inlineStr">
        <is>
          <t>pb-eb-ltr neuron</t>
        </is>
      </c>
      <c r="C694" t="inlineStr">
        <is>
          <t>CX-SFN (pb-eb-ltr)</t>
        </is>
      </c>
      <c r="D694" t="inlineStr">
        <is>
          <t>A small field neuron of the adult central complex that innervates only the protocerebral bridge, the ellipsoid body and the contralateral lateral accessory lobe.</t>
        </is>
      </c>
      <c r="E694" t="inlineStr">
        <is>
          <t>Hanesch et al., 1989, Cell Tissue Res. 257(2): 343--366 (flybase.org/reports/FBrf0049409)</t>
        </is>
      </c>
      <c r="F694" t="inlineStr"/>
      <c r="G694" t="inlineStr"/>
      <c r="H694" t="inlineStr"/>
    </row>
    <row r="695">
      <c r="A695">
        <f>HYPERLINK("https://www.ebi.ac.uk/ols/ontologies/fbbt/terms?iri=http://purl.obolibrary.org/obo/FBbt_00003840","FBbt:00003840")</f>
        <v/>
      </c>
      <c r="B695" t="inlineStr">
        <is>
          <t>medullary tangential neuron Mt4</t>
        </is>
      </c>
      <c r="C695" t="inlineStr">
        <is>
          <t>Mt4</t>
        </is>
      </c>
      <c r="D695" t="inlineStr">
        <is>
          <t>Medullary tangential neuron that principally extends along the border of the serpentine layer and medulla layer M8 for approximately their anterior two-thirds. It shows extensive fine and bleb-like arborizations in medulla layers M8 and M9, but only fine arborizations in the serpentine layer and layer M6. It is a cholinergic neuron (Varija Raghu et al., 2011).</t>
        </is>
      </c>
      <c r="E695" t="inlineStr">
        <is>
          <t>Fischbach and Dittrich, 1989, Cell Tissue Res. 258(3): 441--475 (flybase.org/reports/FBrf0049410); Varija Raghu et al., 2011, J. Comp. Neurol. 519(1): 162--176 (flybase.org/reports/FBrf0212356)</t>
        </is>
      </c>
      <c r="F695" t="inlineStr"/>
      <c r="G695" t="inlineStr"/>
      <c r="H695" t="inlineStr"/>
    </row>
    <row r="696">
      <c r="A696">
        <f>HYPERLINK("https://www.ebi.ac.uk/ols/ontologies/fbbt/terms?iri=http://purl.obolibrary.org/obo/FBbt_00100480","FBbt:00100480")</f>
        <v/>
      </c>
      <c r="B696" t="inlineStr">
        <is>
          <t>lobula columnar neuron LC9</t>
        </is>
      </c>
      <c r="C696" t="inlineStr">
        <is>
          <t>S4; Lcn9; LC09</t>
        </is>
      </c>
      <c r="D696" t="inlineStr">
        <is>
          <t>An extrinsic columnar neuron whose cell body is in the dorsal lateral cell body rind. It has its main dendritic arbors in lobula layers 3 and 5B, and other processes in layers 2 and 4. The arbors in layers 3 and 4 are mainly presynaptic. The axon of Lcn9 fasciculates in the anterior optic tract with Lcn6 and terminates in a dorsal and anterior glomeruli of the PVLP, medial to Lcn6. There are around 150 cells of this type.</t>
        </is>
      </c>
      <c r="E696" t="inlineStr">
        <is>
          <t>Otsuna and Ito, 2006, J. Comp. Neurol. 497(6): 928--958 (flybase.org/reports/FBrf0193607); Wu et al., 2016, eLife 5: e21022 (flybase.org/reports/FBrf0234700)</t>
        </is>
      </c>
      <c r="F696" t="inlineStr"/>
      <c r="G696" t="inlineStr"/>
      <c r="H696" t="inlineStr"/>
    </row>
    <row r="697">
      <c r="A697">
        <f>HYPERLINK("https://www.ebi.ac.uk/ols/ontologies/fbbt/terms?iri=http://purl.obolibrary.org/obo/FBbt_00111050","FBbt:00111050")</f>
        <v/>
      </c>
      <c r="B697" t="inlineStr">
        <is>
          <t>pb-fb neuron</t>
        </is>
      </c>
      <c r="C697" t="inlineStr">
        <is>
          <t>CX-SFN (pb-fb)</t>
        </is>
      </c>
      <c r="D697" t="inlineStr">
        <is>
          <t>A small field neuron of the adult central complex that innervates only the protocerebral bridge and the fan-shaped body.</t>
        </is>
      </c>
      <c r="E697" t="inlineStr">
        <is>
          <t>Young and Armstrong, 2010, J. Comp. Neurol. 518(9): 1500--1524 (flybase.org/reports/FBrf0210154)</t>
        </is>
      </c>
      <c r="F697" t="inlineStr"/>
      <c r="G697" t="inlineStr"/>
      <c r="H697" t="inlineStr"/>
    </row>
    <row r="698">
      <c r="A698">
        <f>HYPERLINK("https://www.ebi.ac.uk/ols/ontologies/fbbt/terms?iri=http://purl.obolibrary.org/obo/FBbt_00003841","FBbt:00003841")</f>
        <v/>
      </c>
      <c r="B698" t="inlineStr">
        <is>
          <t>medullary tangential neuron Mt5</t>
        </is>
      </c>
      <c r="C698" t="inlineStr">
        <is>
          <t>Mt5</t>
        </is>
      </c>
      <c r="D698" t="inlineStr">
        <is>
          <t>Medullary tangential neuron that extends along the proximal face of the medulla. It shows extensive fine and bleb-like arborizations in medulla layers M8, M9, and M10.</t>
        </is>
      </c>
      <c r="E698" t="inlineStr">
        <is>
          <t>Fischbach and Dittrich, 1989, Cell Tissue Res. 258(3): 441--475 (flybase.org/reports/FBrf0049410)</t>
        </is>
      </c>
      <c r="F698" t="inlineStr"/>
      <c r="G698" t="inlineStr"/>
      <c r="H698" t="inlineStr"/>
    </row>
    <row r="699">
      <c r="A699">
        <f>HYPERLINK("https://www.ebi.ac.uk/ols/ontologies/fbbt/terms?iri=http://purl.obolibrary.org/obo/FBbt_00110982","FBbt:00110982")</f>
        <v/>
      </c>
      <c r="B699" t="inlineStr">
        <is>
          <t>lobula tangential neuron vGATLtnew1</t>
        </is>
      </c>
      <c r="C699" t="inlineStr">
        <is>
          <t>Ltnew1; vGATLtnew1</t>
        </is>
      </c>
      <c r="D699" t="inlineStr">
        <is>
          <t>Lobula tangential neuron that arborizes in layers 2 to 4 of the lobula. It is a GABAergic neuron.</t>
        </is>
      </c>
      <c r="E699" t="inlineStr">
        <is>
          <t>Raghu et al., 2013, J. Comp. Neurol. 521(1): 252--265 (flybase.org/reports/FBrf0220286)</t>
        </is>
      </c>
      <c r="F699" t="inlineStr"/>
      <c r="G699" t="inlineStr"/>
      <c r="H699" t="inlineStr"/>
    </row>
    <row r="700">
      <c r="A700">
        <f>HYPERLINK("https://www.ebi.ac.uk/ols/ontologies/fbbt/terms?iri=http://purl.obolibrary.org/obo/FBbt_00110983","FBbt:00110983")</f>
        <v/>
      </c>
      <c r="B700" t="inlineStr">
        <is>
          <t>lobula tangential neuron vGATLtnew2</t>
        </is>
      </c>
      <c r="C700" t="inlineStr">
        <is>
          <t>Ltnew2; vGATLtnew2</t>
        </is>
      </c>
      <c r="D700" t="inlineStr">
        <is>
          <t>Lobula tangential neuron that branches in layer 1 of the lobula. It is a GABAergic neuron.</t>
        </is>
      </c>
      <c r="E700" t="inlineStr">
        <is>
          <t>Raghu et al., 2013, J. Comp. Neurol. 521(1): 252--265 (flybase.org/reports/FBrf0220286)</t>
        </is>
      </c>
      <c r="F700" t="inlineStr"/>
      <c r="G700" t="inlineStr"/>
      <c r="H700" t="inlineStr"/>
    </row>
    <row r="701">
      <c r="A701">
        <f>HYPERLINK("https://www.ebi.ac.uk/ols/ontologies/fbbt/terms?iri=http://purl.obolibrary.org/obo/FBbt_00110495","FBbt:00110495")</f>
        <v/>
      </c>
      <c r="B701" t="inlineStr">
        <is>
          <t>adult fruitless pIP-i neuron</t>
        </is>
      </c>
      <c r="C701" t="inlineStr">
        <is>
          <t>pIP-i neuron</t>
        </is>
      </c>
      <c r="D701" t="inlineStr">
        <is>
          <t>Any neuron (FBbt:00005106) that is part of some adult fruitless pIP-i lineage clone (FBbt:00110494).</t>
        </is>
      </c>
      <c r="E701" t="inlineStr">
        <is>
          <t>Cachero et al., 2010, Curr. Biol. 20(18): 1589--1601 (flybase.org/reports/FBrf0211926)</t>
        </is>
      </c>
      <c r="F701" t="inlineStr"/>
      <c r="G701" t="inlineStr"/>
      <c r="H701" t="inlineStr"/>
    </row>
    <row r="702">
      <c r="A702">
        <f>HYPERLINK("https://www.ebi.ac.uk/ols/ontologies/fbbt/terms?iri=http://purl.obolibrary.org/obo/FBbt_00003849","FBbt:00003849")</f>
        <v/>
      </c>
      <c r="B702" t="inlineStr">
        <is>
          <t>medullary tangential neuron Mt13</t>
        </is>
      </c>
      <c r="C702" t="inlineStr">
        <is>
          <t>Mt13</t>
        </is>
      </c>
      <c r="D702" t="inlineStr">
        <is>
          <t>Medullary tangential neuron that extensively innervates the medulla.</t>
        </is>
      </c>
      <c r="E702" t="inlineStr">
        <is>
          <t>Fischbach and Dittrich, 1989, Cell Tissue Res. 258(3): 441--475 (flybase.org/reports/FBrf0049410)</t>
        </is>
      </c>
      <c r="F702" t="inlineStr"/>
      <c r="G702" t="inlineStr"/>
      <c r="H702" t="inlineStr"/>
    </row>
    <row r="703">
      <c r="A703">
        <f>HYPERLINK("https://www.ebi.ac.uk/ols/ontologies/fbbt/terms?iri=http://purl.obolibrary.org/obo/FBbt_00110980","FBbt:00110980")</f>
        <v/>
      </c>
      <c r="B703" t="inlineStr">
        <is>
          <t>medullary tangential neuron vGATMtnew</t>
        </is>
      </c>
      <c r="C703" t="inlineStr">
        <is>
          <t>Mtnew1; vGATMtnew</t>
        </is>
      </c>
      <c r="D703" t="inlineStr">
        <is>
          <t>Medullary tangential neuron with extensive branching that covers layers M7 to M10. It is a GABAergic neuron.</t>
        </is>
      </c>
      <c r="E703" t="inlineStr">
        <is>
          <t>Raghu et al., 2013, J. Comp. Neurol. 521(1): 252--265 (flybase.org/reports/FBrf0220286)</t>
        </is>
      </c>
      <c r="F703" t="inlineStr"/>
      <c r="G703" t="inlineStr"/>
      <c r="H703" t="inlineStr"/>
    </row>
    <row r="704">
      <c r="A704">
        <f>HYPERLINK("https://www.ebi.ac.uk/ols/ontologies/fbbt/terms?iri=http://purl.obolibrary.org/obo/FBbt_00110497","FBbt:00110497")</f>
        <v/>
      </c>
      <c r="B704" t="inlineStr">
        <is>
          <t>adult fruitless pIP-j neuron</t>
        </is>
      </c>
      <c r="C704" t="inlineStr">
        <is>
          <t>pIP-j neuron</t>
        </is>
      </c>
      <c r="D704" t="inlineStr">
        <is>
          <t>Any neuron (FBbt:00005106) that is part of some adult fruitless pIP-j lineage clone (FBbt:00110496).</t>
        </is>
      </c>
      <c r="E704" t="inlineStr">
        <is>
          <t>Cachero et al., 2010, Curr. Biol. 20(18): 1589--1601 (flybase.org/reports/FBrf0211926)</t>
        </is>
      </c>
      <c r="F704" t="inlineStr"/>
      <c r="G704" t="inlineStr"/>
      <c r="H704" t="inlineStr"/>
    </row>
    <row r="705">
      <c r="A705">
        <f>HYPERLINK("https://www.ebi.ac.uk/ols/ontologies/fbbt/terms?iri=http://purl.obolibrary.org/obo/FBbt_00048269","FBbt:00048269")</f>
        <v/>
      </c>
      <c r="B705" t="inlineStr">
        <is>
          <t>SMP neuron of the dopaminergic PPL1 cluster</t>
        </is>
      </c>
      <c r="C705" t="inlineStr">
        <is>
          <t>None</t>
        </is>
      </c>
      <c r="D705" t="inlineStr">
        <is>
          <t>MB-SV neuron that has terminals in the superior medial protocerebrum, in addition to the area surrounding the vertical lobe, it is distinct from the other MB-SV neurons.</t>
        </is>
      </c>
      <c r="E705" t="inlineStr">
        <is>
          <t>Xie et al., 2018, Cell Rep. 23(2): 652--665 (flybase.org/reports/FBrf0238545)</t>
        </is>
      </c>
      <c r="F705" t="inlineStr"/>
      <c r="G705" t="inlineStr"/>
      <c r="H705" t="inlineStr"/>
    </row>
    <row r="706">
      <c r="A706">
        <f>HYPERLINK("https://www.ebi.ac.uk/ols/ontologies/fbbt/terms?iri=http://purl.obolibrary.org/obo/FBbt_00110461","FBbt:00110461")</f>
        <v/>
      </c>
      <c r="B706" t="inlineStr">
        <is>
          <t>adult fruitless aSP-g (female) neuron</t>
        </is>
      </c>
      <c r="C706" t="inlineStr">
        <is>
          <t>fru-aSP3 neuron; aSP6 neuron; aSP-g neuron; aSP3b2 neuron</t>
        </is>
      </c>
      <c r="D706" t="inlineStr">
        <is>
          <t>Any neuron (FBbt:00005106) that is part of some adult fruitless aSP-g (female) lineage clone (FBbt:00110460) and that develops from some neuroblast SLPal2 (FBbt:00050267) and that is part of some female organism (FBbt:00007011).</t>
        </is>
      </c>
      <c r="E706" t="inlineStr">
        <is>
          <t>Lee et al., 2000, J. Neurobiol. 43(4): 404--426 (flybase.org/reports/FBrf0128543); Kimura et al., 2008, Neuron 59(5): 759--769 (flybase.org/reports/FBrf0205974); Yu et al., 2010, Curr. Biol. 20(18): 1602--1614 (flybase.org/reports/FBrf0211884); Cachero et al., 2010, Curr. Biol. 20(18): 1589--1601 (flybase.org/reports/FBrf0211926); Yu et al., 2013, Curr. Biol. 23(8): 633--643 (flybase.org/reports/FBrf0221412); Ito et al., 2013, Curr. Biol. 23(8): 644--655 (flybase.org/reports/FBrf0221438)</t>
        </is>
      </c>
      <c r="F706" t="inlineStr"/>
      <c r="G706" t="inlineStr"/>
      <c r="H706" t="inlineStr"/>
    </row>
    <row r="707">
      <c r="A707">
        <f>HYPERLINK("https://www.ebi.ac.uk/ols/ontologies/fbbt/terms?iri=http://purl.obolibrary.org/obo/FBbt_00111057","FBbt:00111057")</f>
        <v/>
      </c>
      <c r="B707" t="inlineStr">
        <is>
          <t>protocerebral bridge 18 glomeruli type 2 neuron</t>
        </is>
      </c>
      <c r="C707" t="inlineStr">
        <is>
          <t>PB18.sGxdelta7Gy.b neuron; PBR1-7,L1-8 glomeruli neuron; PB15-glomeruli neuron; protocerebral bridge 15 glomeruli neuron; PBR1-8,L1-7 glomeruli neuron</t>
        </is>
      </c>
      <c r="D707" t="inlineStr">
        <is>
          <t>Large field neuron of the central complex that is intrinsic to the protocerebral bridge. It has dendritic arbors in 18 glomeruli, and axon terminals distributed in two glomeruli spaced seven glomeruli apart. There are three subtypes that differ on the location of the axon terminals. One subtype has terminals in the ipsilateral glomerulus 7 and contralateral glomerulus 2; another with terminals in the ipsilateral glomerulus 6 and contralateral glomerulus 3; and the last with terminals in the ipsilateral glomerulus 5 and contralateral glomerulus 4.</t>
        </is>
      </c>
      <c r="E707" t="inlineStr">
        <is>
          <t>Lin et al., 2013, Cell Rep. 3(5): 1739--1753 (flybase.org/reports/FBrf0221742); Wolff et al., 2015, J. Comp. Neurol. 523(7): 997--1037 (flybase.org/reports/FBrf0227801)</t>
        </is>
      </c>
      <c r="F707" t="inlineStr"/>
      <c r="G707" t="inlineStr"/>
      <c r="H707" t="inlineStr"/>
    </row>
    <row r="708">
      <c r="A708">
        <f>HYPERLINK("https://www.ebi.ac.uk/ols/ontologies/fbbt/terms?iri=http://purl.obolibrary.org/obo/FBbt_00111056","FBbt:00111056")</f>
        <v/>
      </c>
      <c r="B708" t="inlineStr">
        <is>
          <t>protocerebral bridge 4 glomeruli neuron</t>
        </is>
      </c>
      <c r="C708" t="inlineStr">
        <is>
          <t>PBR3-8 glomeruli neuron; PB6-glomeruli neuron; PBG6-8.sG9.b neuron; protocerebral bridge 6 glomeruli neuron; PBL3-8 glomeruli neuron; PBL7,L8 neuron; PBR7,R8 neuron</t>
        </is>
      </c>
      <c r="D708" t="inlineStr">
        <is>
          <t>Large field neuron of the central complex that is intrinsic to the protocerebral bridge. It has ipsilateral dendritic arbors in 4 glomeruli (6 to 8) and axon terminals distributed in the most lateral glomerulus 9.</t>
        </is>
      </c>
      <c r="E708" t="inlineStr">
        <is>
          <t>Lin et al., 2013, Cell Rep. 3(5): 1739--1753 (flybase.org/reports/FBrf0221742); Wolff et al., 2015, J. Comp. Neurol. 523(7): 997--1037 (flybase.org/reports/FBrf0227801)</t>
        </is>
      </c>
      <c r="F708" t="inlineStr"/>
      <c r="G708" t="inlineStr"/>
      <c r="H708" t="inlineStr"/>
    </row>
    <row r="709">
      <c r="A709">
        <f>HYPERLINK("https://www.ebi.ac.uk/ols/ontologies/fbbt/terms?iri=http://purl.obolibrary.org/obo/FBbt_00007570","FBbt:00007570")</f>
        <v/>
      </c>
      <c r="B709" t="inlineStr">
        <is>
          <t>horizontal fiber system neuron pb5</t>
        </is>
      </c>
      <c r="C709" t="inlineStr">
        <is>
          <t>None</t>
        </is>
      </c>
      <c r="D709" t="inlineStr">
        <is>
          <t>Horizontal fiber system neuron that innervates protocerebral bridge glomerulus 6, fasciculates with pb-fb tract X, innervates the ipsilateral fan-shaped body segment pair Y and the ipsilateral lateral accessory lobe.</t>
        </is>
      </c>
      <c r="E709" t="inlineStr">
        <is>
          <t>Hanesch et al., 1989, Cell Tissue Res. 257(2): 343--366 (flybase.org/reports/FBrf0049409)</t>
        </is>
      </c>
      <c r="F709" t="inlineStr"/>
      <c r="G709" t="inlineStr"/>
      <c r="H709" t="inlineStr"/>
    </row>
    <row r="710">
      <c r="A710">
        <f>HYPERLINK("https://www.ebi.ac.uk/ols/ontologies/fbbt/terms?iri=http://purl.obolibrary.org/obo/FBbt_00007571","FBbt:00007571")</f>
        <v/>
      </c>
      <c r="B710" t="inlineStr">
        <is>
          <t>horizontal fiber system neuron pb4</t>
        </is>
      </c>
      <c r="C710" t="inlineStr">
        <is>
          <t>None</t>
        </is>
      </c>
      <c r="D710" t="inlineStr">
        <is>
          <t>Horizontal fiber system neuron that innervates the protocerebral bridge glomerulus 5 and fasciculates with pb-fb tract Y. It also innervates the ipsilateral fan-shaped body segment pair Z and the contralateral lateral accessory lobe.</t>
        </is>
      </c>
      <c r="E710" t="inlineStr">
        <is>
          <t>Hanesch et al., 1989, Cell Tissue Res. 257(2): 343--366 (flybase.org/reports/FBrf0049409)</t>
        </is>
      </c>
      <c r="F710" t="inlineStr"/>
      <c r="G710" t="inlineStr"/>
      <c r="H710" t="inlineStr"/>
    </row>
    <row r="711">
      <c r="A711">
        <f>HYPERLINK("https://www.ebi.ac.uk/ols/ontologies/fbbt/terms?iri=http://purl.obolibrary.org/obo/FBbt_00007572","FBbt:00007572")</f>
        <v/>
      </c>
      <c r="B711" t="inlineStr">
        <is>
          <t>horizontal fiber system neuron pb3</t>
        </is>
      </c>
      <c r="C711" t="inlineStr">
        <is>
          <t>None</t>
        </is>
      </c>
      <c r="D711" t="inlineStr">
        <is>
          <t>Horizontal fiber system neuron that innervates protocerebral bridge glomerulus 4, fasciculates with pb-fb tract Y, innervates contralateral fan-shaped body segment pair Z and the contralateral lateral accessory lobe.</t>
        </is>
      </c>
      <c r="E711" t="inlineStr">
        <is>
          <t>Hanesch et al., 1989, Cell Tissue Res. 257(2): 343--366 (flybase.org/reports/FBrf0049409)</t>
        </is>
      </c>
      <c r="F711" t="inlineStr"/>
      <c r="G711" t="inlineStr"/>
      <c r="H711" t="inlineStr"/>
    </row>
    <row r="712">
      <c r="A712">
        <f>HYPERLINK("https://www.ebi.ac.uk/ols/ontologies/fbbt/terms?iri=http://purl.obolibrary.org/obo/FBbt_00007573","FBbt:00007573")</f>
        <v/>
      </c>
      <c r="B712" t="inlineStr">
        <is>
          <t>horizontal fiber system neuron pb2</t>
        </is>
      </c>
      <c r="C712" t="inlineStr">
        <is>
          <t>None</t>
        </is>
      </c>
      <c r="D712" t="inlineStr">
        <is>
          <t>Horizontal fiber system neuron that innervates the protocerebral bridge glomerulus 3, and fasciculates with pb-fb tract Z. Crossing contralaterally, it innervates both the fan-shaped body segment pair Y and the lateral accessory lobe.</t>
        </is>
      </c>
      <c r="E712" t="inlineStr">
        <is>
          <t>Hanesch et al., 1989, Cell Tissue Res. 257(2): 343--366 (flybase.org/reports/FBrf0049409)</t>
        </is>
      </c>
      <c r="F712" t="inlineStr"/>
      <c r="G712" t="inlineStr"/>
      <c r="H712" t="inlineStr"/>
    </row>
    <row r="713">
      <c r="A713">
        <f>HYPERLINK("https://www.ebi.ac.uk/ols/ontologies/fbbt/terms?iri=http://purl.obolibrary.org/obo/FBbt_00111060","FBbt:00111060")</f>
        <v/>
      </c>
      <c r="B713" t="inlineStr">
        <is>
          <t>protocerebral bridge 18 glomeruli type 2 neuron of glomerulus 5</t>
        </is>
      </c>
      <c r="C713" t="inlineStr">
        <is>
          <t>PBL4,R3 neuron; PBR1-7,L1-8 glomeruli;axon:R3,L4 neuron; PBR1-8,L1-7 glomeruli;axon:R4,L3 neuron; protocerebral bridge 15 glomeruli neuron of glomerulus 4; PBR4,L3 neuron; PBL3,R4 neuron; PBR3,L4 neuron</t>
        </is>
      </c>
      <c r="D713" t="inlineStr">
        <is>
          <t>Subtype of the protocerebral bridge 18 glomeruli type 2 neuron that has axonal terminals in the ipsilateral glomerulus 5 and contralateral glomerulus 4.</t>
        </is>
      </c>
      <c r="E713" t="inlineStr">
        <is>
          <t>Lin et al., 2013, Cell Rep. 3(5): 1739--1753 (flybase.org/reports/FBrf0221742); Wolff et al., 2015, J. Comp. Neurol. 523(7): 997--1037 (flybase.org/reports/FBrf0227801)</t>
        </is>
      </c>
      <c r="F713" t="inlineStr"/>
      <c r="G713" t="inlineStr"/>
      <c r="H713" t="inlineStr"/>
    </row>
    <row r="714">
      <c r="A714">
        <f>HYPERLINK("https://www.ebi.ac.uk/ols/ontologies/fbbt/terms?iri=http://purl.obolibrary.org/obo/FBbt_00003920","FBbt:00003920")</f>
        <v/>
      </c>
      <c r="B714" t="inlineStr">
        <is>
          <t>ventral giant horizontal cell HSS</t>
        </is>
      </c>
      <c r="C714" t="inlineStr">
        <is>
          <t>HSS; HS south; ventral horizontal neuron</t>
        </is>
      </c>
      <c r="D714" t="inlineStr">
        <is>
          <t>Horizontal system neuron whose dendritic arbor extends over the ventral lobula plate. It is a glutamatergic neuron (Raghu and Borst, 2011).</t>
        </is>
      </c>
      <c r="E714" t="inlineStr">
        <is>
          <t>Fischbach and Dittrich, 1989, Cell Tissue Res. 258(3): 441--475 (flybase.org/reports/FBrf0049410); Scott et al., 2002, J. Comp. Neurol. 454(4): 470--481 (flybase.org/reports/FBrf0155898); Raghu and Borst, 2011, PLoS ONE 6(5): e19472 (flybase.org/reports/FBrf0213690)</t>
        </is>
      </c>
      <c r="F714" t="inlineStr"/>
      <c r="G714" t="inlineStr"/>
      <c r="H714" t="inlineStr"/>
    </row>
    <row r="715">
      <c r="A715">
        <f>HYPERLINK("https://www.ebi.ac.uk/ols/ontologies/fbbt/terms?iri=http://purl.obolibrary.org/obo/FBbt_00100520","FBbt:00100520")</f>
        <v/>
      </c>
      <c r="B715" t="inlineStr">
        <is>
          <t>pseudocartridge glial cell</t>
        </is>
      </c>
      <c r="C715" t="inlineStr">
        <is>
          <t>None</t>
        </is>
      </c>
      <c r="D715" t="inlineStr">
        <is>
          <t>Surface glial cell of the adult optic lobe. The pseudocartridge glial cells form a glial layer beneath the distal fenestrated glial cells.</t>
        </is>
      </c>
      <c r="E715" t="inlineStr">
        <is>
          <t>Edwards and Meinertzhagen, 2010, Prog. Neurobiol. 90(4): 471--497 (flybase.org/reports/FBrf0210316)</t>
        </is>
      </c>
      <c r="F715" t="inlineStr"/>
      <c r="G715" t="inlineStr"/>
      <c r="H715" t="inlineStr"/>
    </row>
    <row r="716">
      <c r="A716">
        <f>HYPERLINK("https://www.ebi.ac.uk/ols/ontologies/fbbt/terms?iri=http://purl.obolibrary.org/obo/FBbt_00007574","FBbt:00007574")</f>
        <v/>
      </c>
      <c r="B716" t="inlineStr">
        <is>
          <t>horizontal fiber system neuron pb1</t>
        </is>
      </c>
      <c r="C716" t="inlineStr">
        <is>
          <t>None</t>
        </is>
      </c>
      <c r="D716" t="inlineStr">
        <is>
          <t>Horizontal fiber system neuron that innervates protocerebral bridge glomerulus 1, fasciculates with pb-fb tract Z, innervates the contralateral fan-shaped body segment pair X and the contralateral lateral accessory lobe.</t>
        </is>
      </c>
      <c r="E716" t="inlineStr">
        <is>
          <t>Hanesch et al., 1989, Cell Tissue Res. 257(2): 343--366 (flybase.org/reports/FBrf0049409)</t>
        </is>
      </c>
      <c r="F716" t="inlineStr"/>
      <c r="G716" t="inlineStr"/>
      <c r="H716" t="inlineStr"/>
    </row>
    <row r="717">
      <c r="A717">
        <f>HYPERLINK("https://www.ebi.ac.uk/ols/ontologies/fbbt/terms?iri=http://purl.obolibrary.org/obo/FBbt_00111513","FBbt:00111513")</f>
        <v/>
      </c>
      <c r="B717" t="inlineStr">
        <is>
          <t>PB-FB-NO subunit 3 medial domain neuron</t>
        </is>
      </c>
      <c r="C717" t="inlineStr">
        <is>
          <t>PBG2-9.s-FBl1.b-NO3M.b neuron</t>
        </is>
      </c>
      <c r="D717" t="inlineStr">
        <is>
          <t>Small field neuron of the central complex with dendritic arbors in a single glomerulus of the protocerebral bridge (except glomerulus 1) and axon terminals in fan-shaped body layer 1 and the contralateral medial domain of nodulus subunit III.</t>
        </is>
      </c>
      <c r="E717" t="inlineStr">
        <is>
          <t>Wolff et al., 2015, J. Comp. Neurol. 523(7): 997--1037 (flybase.org/reports/FBrf0227801)</t>
        </is>
      </c>
      <c r="F717" t="inlineStr"/>
      <c r="G717" t="inlineStr"/>
      <c r="H717" t="inlineStr"/>
    </row>
    <row r="718">
      <c r="A718">
        <f>HYPERLINK("https://www.ebi.ac.uk/ols/ontologies/fbbt/terms?iri=http://purl.obolibrary.org/obo/FBbt_00111512","FBbt:00111512")</f>
        <v/>
      </c>
      <c r="B718" t="inlineStr">
        <is>
          <t>PB-FB-NO subunit 2 ventral domain neuron</t>
        </is>
      </c>
      <c r="C718" t="inlineStr">
        <is>
          <t>PBG2-9.s-FBl3.b-NO2V.b neuron</t>
        </is>
      </c>
      <c r="D718" t="inlineStr">
        <is>
          <t>Small field neuron of the central complex with dendritic arbors in a single glomerulus of the protocerebral bridge (except glomerulus 1) and axon terminals in fan-shaped body layer 3 and the contralateral ventral domain of the nodulus subunit II.</t>
        </is>
      </c>
      <c r="E718" t="inlineStr">
        <is>
          <t>Wolff et al., 2015, J. Comp. Neurol. 523(7): 997--1037 (flybase.org/reports/FBrf0227801)</t>
        </is>
      </c>
      <c r="F718" t="inlineStr"/>
      <c r="G718" t="inlineStr"/>
      <c r="H718" t="inlineStr"/>
    </row>
    <row r="719">
      <c r="A719">
        <f>HYPERLINK("https://www.ebi.ac.uk/ols/ontologies/fbbt/terms?iri=http://purl.obolibrary.org/obo/FBbt_00007430","FBbt:00007430")</f>
        <v/>
      </c>
      <c r="B719" t="inlineStr">
        <is>
          <t>DN1p neuron</t>
        </is>
      </c>
      <c r="C719" t="inlineStr">
        <is>
          <t>posterior DN1 neuron; DN1p</t>
        </is>
      </c>
      <c r="D719" t="inlineStr">
        <is>
          <t>Posteriorly located member of the Period-expressing DN1 cluster of the adult brain that expresses glass (FBgn0004618). There are 14-17 DN1p cells per cluster. Many, perhaps all cells in this cluster project through the dorsal fusion commissure (Helfrich-Forster et al., 2007).</t>
        </is>
      </c>
      <c r="E719" t="inlineStr">
        <is>
          <t>Baggerman et al., 2002, J. Biol. Chem. 277(43): 40368--40374 (flybase.org/reports/FBrf0152101); Shafer et al., 2006, J. Comp. Neurol. 498(2): 180--193 (flybase.org/reports/FBrf0195358)</t>
        </is>
      </c>
      <c r="F719" t="inlineStr"/>
      <c r="G719" t="inlineStr"/>
      <c r="H719" t="inlineStr"/>
    </row>
    <row r="720">
      <c r="A720">
        <f>HYPERLINK("https://www.ebi.ac.uk/ols/ontologies/fbbt/terms?iri=http://purl.obolibrary.org/obo/FBbt_00047871","FBbt:00047871")</f>
        <v/>
      </c>
      <c r="B720" t="inlineStr">
        <is>
          <t>type 1 lobula plate-lobula neuron</t>
        </is>
      </c>
      <c r="C720" t="inlineStr">
        <is>
          <t>type 1 LPL; LPL01</t>
        </is>
      </c>
      <c r="D720" t="inlineStr">
        <is>
          <t>Adult neuron that branches at the ventral side of the lobula, with one branch innervating the lobula and continuing to the lobula plate and one branch projecting to the central brain. Neurons of this class are characterized by a loose arrangement of branchlets that meander through lobula plate strata 2-5 (layers 2-4). In the lobula, it gives rise to stratified fields that nearly reach the lobula inner surface.</t>
        </is>
      </c>
      <c r="E720" t="inlineStr">
        <is>
          <t>Gilbert and Strausfeld, 1992, J. Comp. Neurol. 316(1): 56--71 (flybase.org/reports/FBrf0240360)</t>
        </is>
      </c>
      <c r="F720" t="inlineStr"/>
      <c r="G720" t="inlineStr"/>
      <c r="H720" t="inlineStr"/>
    </row>
    <row r="721">
      <c r="A721">
        <f>HYPERLINK("https://www.ebi.ac.uk/ols/ontologies/fbbt/terms?iri=http://purl.obolibrary.org/obo/FBbt_00007560","FBbt:00007560")</f>
        <v/>
      </c>
      <c r="B721" t="inlineStr">
        <is>
          <t>vertical fiber system neuron pb7</t>
        </is>
      </c>
      <c r="C721" t="inlineStr">
        <is>
          <t>None</t>
        </is>
      </c>
      <c r="D721" t="inlineStr">
        <is>
          <t>Vertical fiber system neuron that innervates protocerebral bridge glomerulus 8, the ipsilateral fan-shaped body segment W and the contralateral nodulus.</t>
        </is>
      </c>
      <c r="E721" t="inlineStr">
        <is>
          <t>Hanesch et al., 1989, Cell Tissue Res. 257(2): 343--366 (flybase.org/reports/FBrf0049409)</t>
        </is>
      </c>
      <c r="F721" t="inlineStr"/>
      <c r="G721" t="inlineStr"/>
      <c r="H721" t="inlineStr"/>
    </row>
    <row r="722">
      <c r="A722">
        <f>HYPERLINK("https://www.ebi.ac.uk/ols/ontologies/fbbt/terms?iri=http://purl.obolibrary.org/obo/FBbt_00005723","FBbt:00005723")</f>
        <v/>
      </c>
      <c r="B722" t="inlineStr">
        <is>
          <t>satellite glial cell</t>
        </is>
      </c>
      <c r="C722" t="inlineStr">
        <is>
          <t>adult satellite glial cell</t>
        </is>
      </c>
      <c r="D722" t="inlineStr">
        <is>
          <t>Cell body glial cell of the lamina with its nucleus positioned in the cell body rind region between the lateral (L1-4) and medial (L5) lamina neurons (Winberg et al., 1992). These cells enclose lamina neuron cell bodies, but unlike elsewhere, multiple cell bodies may be found in one glial pocket (Kremer et al., 2017).</t>
        </is>
      </c>
      <c r="E722" t="inlineStr">
        <is>
          <t>Winberg et al., 1992, Development 115(4): 903--911 (flybase.org/reports/FBrf0055906); Edwards and Meinertzhagen, 2010, Prog. Neurobiol. 90(4): 471--497 (flybase.org/reports/FBrf0210316); Kremer et al., 2017, Glia 65(4): 606--638 (flybase.org/reports/FBrf0234767)</t>
        </is>
      </c>
      <c r="F722" t="inlineStr"/>
      <c r="G722" t="inlineStr"/>
      <c r="H722" t="inlineStr"/>
    </row>
    <row r="723">
      <c r="A723">
        <f>HYPERLINK("https://www.ebi.ac.uk/ols/ontologies/fbbt/terms?iri=http://purl.obolibrary.org/obo/FBbt_00004038","FBbt:00004038")</f>
        <v/>
      </c>
      <c r="B723" t="inlineStr">
        <is>
          <t>type A interneuron</t>
        </is>
      </c>
      <c r="C723" t="inlineStr">
        <is>
          <t>None</t>
        </is>
      </c>
      <c r="D723" t="inlineStr">
        <is>
          <t>Local interneuron of the adult subesophageal zone, that arborizes in the taste sensory neuropil (taste-sensory region glomerulus). It soma is located in the anteroventral cell body rind. It gives out two short processes, which further divide into many collaterals.</t>
        </is>
      </c>
      <c r="E723" t="inlineStr">
        <is>
          <t>Nayak and Singh, 1985, Int. J. Insect Morph. Embryol. 14(2): 115--129 (flybase.org/reports/FBrf0042883)</t>
        </is>
      </c>
      <c r="F723" t="inlineStr"/>
      <c r="G723" t="inlineStr"/>
      <c r="H723" t="inlineStr"/>
    </row>
    <row r="724">
      <c r="A724">
        <f>HYPERLINK("https://www.ebi.ac.uk/ols/ontologies/fbbt/terms?iri=http://purl.obolibrary.org/obo/FBbt_00007429","FBbt:00007429")</f>
        <v/>
      </c>
      <c r="B724" t="inlineStr">
        <is>
          <t>DN1a neuron</t>
        </is>
      </c>
      <c r="C724" t="inlineStr">
        <is>
          <t>anterior DN1 neuron; DN1a</t>
        </is>
      </c>
      <c r="D724" t="inlineStr">
        <is>
          <t>Anteriorly located member of the Period-expressing DN1 cluster of the adult brain. There are two DN1a neurons per cluster located between 15 and 30 micrometers anterior to the DN1p cluster.</t>
        </is>
      </c>
      <c r="E724" t="inlineStr">
        <is>
          <t>Baggerman et al., 2002, J. Biol. Chem. 277(43): 40368--40374 (flybase.org/reports/FBrf0152101); Shafer et al., 2006, J. Comp. Neurol. 498(2): 180--193 (flybase.org/reports/FBrf0195358)</t>
        </is>
      </c>
      <c r="F724" t="inlineStr"/>
      <c r="G724" t="inlineStr"/>
      <c r="H724" t="inlineStr"/>
    </row>
    <row r="725">
      <c r="A725">
        <f>HYPERLINK("https://www.ebi.ac.uk/ols/ontologies/fbbt/terms?iri=http://purl.obolibrary.org/obo/FBbt_00047872","FBbt:00047872")</f>
        <v/>
      </c>
      <c r="B725" t="inlineStr">
        <is>
          <t>complex columnar visual projection neuron CC1</t>
        </is>
      </c>
      <c r="C725" t="inlineStr">
        <is>
          <t>CC1 neuron</t>
        </is>
      </c>
      <c r="D725" t="inlineStr">
        <is>
          <t>Adult visual projection neuron with a cell body in the lateral cell body rind region (between the central brain and optic lobe) that innervates more than one neuropil domain of the optic lobe (lobula, lobula plate, medulla) and has a columnar pattern of arborization.</t>
        </is>
      </c>
      <c r="E725" t="inlineStr">
        <is>
          <t>Otsuna and Ito, 2006, J. Comp. Neurol. 497(6): 928--958 (flybase.org/reports/FBrf0193607)</t>
        </is>
      </c>
      <c r="F725" t="inlineStr"/>
      <c r="G725" t="inlineStr"/>
      <c r="H725" t="inlineStr"/>
    </row>
    <row r="726">
      <c r="A726">
        <f>HYPERLINK("https://www.ebi.ac.uk/ols/ontologies/fbbt/terms?iri=http://purl.obolibrary.org/obo/FBbt_00007561","FBbt:00007561")</f>
        <v/>
      </c>
      <c r="B726" t="inlineStr">
        <is>
          <t>vertical fiber system neuron pb6</t>
        </is>
      </c>
      <c r="C726" t="inlineStr">
        <is>
          <t>None</t>
        </is>
      </c>
      <c r="D726" t="inlineStr">
        <is>
          <t>Vertical fiber system neuron that innervates protocerebral bridge glomerulus 7, the ipsilateral fan-shaped body segment X and the contralateral nodulus.</t>
        </is>
      </c>
      <c r="E726" t="inlineStr">
        <is>
          <t>Hanesch et al., 1989, Cell Tissue Res. 257(2): 343--366 (flybase.org/reports/FBrf0049409)</t>
        </is>
      </c>
      <c r="F726" t="inlineStr"/>
      <c r="G726" t="inlineStr"/>
      <c r="H726" t="inlineStr"/>
    </row>
    <row r="727">
      <c r="A727">
        <f>HYPERLINK("https://www.ebi.ac.uk/ols/ontologies/fbbt/terms?iri=http://purl.obolibrary.org/obo/FBbt_00007563","FBbt:00007563")</f>
        <v/>
      </c>
      <c r="B727" t="inlineStr">
        <is>
          <t>vertical fiber system neuron pb4</t>
        </is>
      </c>
      <c r="C727" t="inlineStr">
        <is>
          <t>None</t>
        </is>
      </c>
      <c r="D727" t="inlineStr">
        <is>
          <t>Vertical fiber system neuron that innervates protocerebral bridge glomerulus 5, the ipsilateral fan-shaped body segment X and the contralateral nodulus.</t>
        </is>
      </c>
      <c r="E727" t="inlineStr">
        <is>
          <t>Hanesch et al., 1989, Cell Tissue Res. 257(2): 343--366 (flybase.org/reports/FBrf0049409)</t>
        </is>
      </c>
      <c r="F727" t="inlineStr"/>
      <c r="G727" t="inlineStr"/>
      <c r="H727" t="inlineStr"/>
    </row>
    <row r="728">
      <c r="A728">
        <f>HYPERLINK("https://www.ebi.ac.uk/ols/ontologies/fbbt/terms?iri=http://purl.obolibrary.org/obo/FBbt_00007562","FBbt:00007562")</f>
        <v/>
      </c>
      <c r="B728" t="inlineStr">
        <is>
          <t>vertical fiber system neuron pb5</t>
        </is>
      </c>
      <c r="C728" t="inlineStr">
        <is>
          <t>None</t>
        </is>
      </c>
      <c r="D728" t="inlineStr">
        <is>
          <t>Vertical fiber system neuron that innervates protocerebral bridge glomerulus 6, the ipsilateral fan-shaped body segment X and the contralateral nodulus.</t>
        </is>
      </c>
      <c r="E728" t="inlineStr">
        <is>
          <t>Hanesch et al., 1989, Cell Tissue Res. 257(2): 343--366 (flybase.org/reports/FBrf0049409)</t>
        </is>
      </c>
      <c r="F728" t="inlineStr"/>
      <c r="G728" t="inlineStr"/>
      <c r="H728" t="inlineStr"/>
    </row>
    <row r="729">
      <c r="A729">
        <f>HYPERLINK("https://www.ebi.ac.uk/ols/ontologies/fbbt/terms?iri=http://purl.obolibrary.org/obo/FBbt_00007564","FBbt:00007564")</f>
        <v/>
      </c>
      <c r="B729" t="inlineStr">
        <is>
          <t>vertical fiber system neuron pb3</t>
        </is>
      </c>
      <c r="C729" t="inlineStr">
        <is>
          <t>None</t>
        </is>
      </c>
      <c r="D729" t="inlineStr">
        <is>
          <t>Vertical fiber system neuron that innervates protocerebral bridge glomerulus 4, the ipsilateral fan-shaped body segment X and the contralateral nodulus.</t>
        </is>
      </c>
      <c r="E729" t="inlineStr">
        <is>
          <t>Hanesch et al., 1989, Cell Tissue Res. 257(2): 343--366 (flybase.org/reports/FBrf0049409)</t>
        </is>
      </c>
      <c r="F729" t="inlineStr"/>
      <c r="G729" t="inlineStr"/>
      <c r="H729" t="inlineStr"/>
    </row>
    <row r="730">
      <c r="A730">
        <f>HYPERLINK("https://www.ebi.ac.uk/ols/ontologies/fbbt/terms?iri=http://purl.obolibrary.org/obo/FBbt_00007565","FBbt:00007565")</f>
        <v/>
      </c>
      <c r="B730" t="inlineStr">
        <is>
          <t>vertical fiber system neuron pb2</t>
        </is>
      </c>
      <c r="C730" t="inlineStr">
        <is>
          <t>None</t>
        </is>
      </c>
      <c r="D730" t="inlineStr">
        <is>
          <t>Vertical fiber system neuron that innervates protocerebral bridge glomerulus 3, the ipsilateral fan-shaped body segment X and the contralateral nodulus.</t>
        </is>
      </c>
      <c r="E730" t="inlineStr">
        <is>
          <t>Hanesch et al., 1989, Cell Tissue Res. 257(2): 343--366 (flybase.org/reports/FBrf0049409)</t>
        </is>
      </c>
      <c r="F730" t="inlineStr"/>
      <c r="G730" t="inlineStr"/>
      <c r="H730" t="inlineStr"/>
    </row>
    <row r="731">
      <c r="A731">
        <f>HYPERLINK("https://www.ebi.ac.uk/ols/ontologies/fbbt/terms?iri=http://purl.obolibrary.org/obo/FBbt_00007566","FBbt:00007566")</f>
        <v/>
      </c>
      <c r="B731" t="inlineStr">
        <is>
          <t>vertical fiber system neuron pb1</t>
        </is>
      </c>
      <c r="C731" t="inlineStr">
        <is>
          <t>None</t>
        </is>
      </c>
      <c r="D731" t="inlineStr">
        <is>
          <t>Vertical fiber system neuron that innervates protocerebral bridge glomerulus 2, the ipsilateral fan-shaped body segment X and the contralateral nodulus.</t>
        </is>
      </c>
      <c r="E731" t="inlineStr">
        <is>
          <t>Hanesch et al., 1989, Cell Tissue Res. 257(2): 343--366 (flybase.org/reports/FBrf0049409)</t>
        </is>
      </c>
      <c r="F731" t="inlineStr"/>
      <c r="G731" t="inlineStr"/>
      <c r="H731" t="inlineStr"/>
    </row>
    <row r="732">
      <c r="A732">
        <f>HYPERLINK("https://www.ebi.ac.uk/ols/ontologies/fbbt/terms?iri=http://purl.obolibrary.org/obo/FBbt_00003919","FBbt:00003919")</f>
        <v/>
      </c>
      <c r="B732" t="inlineStr">
        <is>
          <t>equatorial giant horizontal cell HSE</t>
        </is>
      </c>
      <c r="C732" t="inlineStr">
        <is>
          <t>HSE; HS equatorial</t>
        </is>
      </c>
      <c r="D732" t="inlineStr">
        <is>
          <t>Horizontal system neuron whose dendritic arbor extends over the central lobula plate (Scott et al., 2002). It has both synaptic input and output in the axon terminal in the protocerebral region (Raghu et al., 2007). The area covered by its dendrite corresponds to the center of the large equatorial field of vision. It is electrically coupled to HSN and HSS (Schnell et al., 2010).</t>
        </is>
      </c>
      <c r="E732" t="inlineStr">
        <is>
          <t>Heisenberg et al., 1978, J. Comp. Physiol. 124(4): 287--296 (flybase.org/reports/FBrf0032046); Fischbach and Dittrich, 1989, Cell Tissue Res. 258(3): 441--475 (flybase.org/reports/FBrf0049410); Scott et al., 2002, J. Comp. Neurol. 454(4): 470--481 (flybase.org/reports/FBrf0155898); Rajashekhar and Shamprasad, 2004, J. Biosci., Bangalore 29(1): 93--104 (flybase.org/reports/FBrf0179400); Raghu et al., 2007, J. Comp. Neurol. 502(4): 598--610 (flybase.org/reports/FBrf0200428); Raghu et al., 2009, J. Neurogenet. 23(1): 200--209 (flybase.org/reports/FBrf0207482); Schnell et al., 2010, J. Neurophysiol. 103(3): 1646--1657 (flybase.org/reports/FBrf0210299)</t>
        </is>
      </c>
      <c r="F732" t="inlineStr"/>
      <c r="G732" t="inlineStr"/>
      <c r="H732" t="inlineStr"/>
    </row>
    <row r="733">
      <c r="A733">
        <f>HYPERLINK("https://www.ebi.ac.uk/ols/ontologies/fbbt/terms?iri=http://purl.obolibrary.org/obo/FBbt_00007567","FBbt:00007567")</f>
        <v/>
      </c>
      <c r="B733" t="inlineStr">
        <is>
          <t>horizontal fiber system neuron pb8</t>
        </is>
      </c>
      <c r="C733" t="inlineStr">
        <is>
          <t>None</t>
        </is>
      </c>
      <c r="D733" t="inlineStr">
        <is>
          <t>Horizontal fiber system neuron that innervates protocerebral bridge glomerulus 9, fasciculates with pb-fb tract W, innervates the ipsilateral fan-shaped body segment pair W and the ipsilateral lateral accessory lobe.</t>
        </is>
      </c>
      <c r="E733" t="inlineStr">
        <is>
          <t>Hanesch et al., 1989, Cell Tissue Res. 257(2): 343--366 (flybase.org/reports/FBrf0049409)</t>
        </is>
      </c>
      <c r="F733" t="inlineStr"/>
      <c r="G733" t="inlineStr"/>
      <c r="H733" t="inlineStr"/>
    </row>
    <row r="734">
      <c r="A734">
        <f>HYPERLINK("https://www.ebi.ac.uk/ols/ontologies/fbbt/terms?iri=http://purl.obolibrary.org/obo/FBbt_00007568","FBbt:00007568")</f>
        <v/>
      </c>
      <c r="B734" t="inlineStr">
        <is>
          <t>horizontal fiber system neuron pb7</t>
        </is>
      </c>
      <c r="C734" t="inlineStr">
        <is>
          <t>None</t>
        </is>
      </c>
      <c r="D734" t="inlineStr">
        <is>
          <t>Horizontal fiber system neuron that innervates protocerebral bridge glomerulus 8, fasciculates with pb-fb tract W, innervates the ipsilateral fan-shaped body segment pair W and the ipsilateral lateral accessory lobe.</t>
        </is>
      </c>
      <c r="E734" t="inlineStr">
        <is>
          <t>Hanesch et al., 1989, Cell Tissue Res. 257(2): 343--366 (flybase.org/reports/FBrf0049409)</t>
        </is>
      </c>
      <c r="F734" t="inlineStr"/>
      <c r="G734" t="inlineStr"/>
      <c r="H734" t="inlineStr"/>
    </row>
    <row r="735">
      <c r="A735">
        <f>HYPERLINK("https://www.ebi.ac.uk/ols/ontologies/fbbt/terms?iri=http://purl.obolibrary.org/obo/FBbt_00007569","FBbt:00007569")</f>
        <v/>
      </c>
      <c r="B735" t="inlineStr">
        <is>
          <t>horizontal fiber system neuron pb6</t>
        </is>
      </c>
      <c r="C735" t="inlineStr">
        <is>
          <t>None</t>
        </is>
      </c>
      <c r="D735" t="inlineStr">
        <is>
          <t>Horizontal fiber system neuron that innervates protocerebral bridge glomerulus 7 and fasciculates with pb-fb tract X. It also innervates the ipsilateral fan-shaped body segment pair X and the ipsilateral lateral accessory lobe.</t>
        </is>
      </c>
      <c r="E735" t="inlineStr">
        <is>
          <t>Hanesch et al., 1989, Cell Tissue Res. 257(2): 343--366 (flybase.org/reports/FBrf0049409)</t>
        </is>
      </c>
      <c r="F735" t="inlineStr"/>
      <c r="G735" t="inlineStr"/>
      <c r="H735" t="inlineStr"/>
    </row>
    <row r="736">
      <c r="A736">
        <f>HYPERLINK("https://www.ebi.ac.uk/ols/ontologies/fbbt/terms?iri=http://purl.obolibrary.org/obo/FBbt_00003918","FBbt:00003918")</f>
        <v/>
      </c>
      <c r="B736" t="inlineStr">
        <is>
          <t>dorsal giant horizontal cell HSN</t>
        </is>
      </c>
      <c r="C736" t="inlineStr">
        <is>
          <t>HS north; HSN; horizontal system north; dorsal horizontal neuron</t>
        </is>
      </c>
      <c r="D736" t="inlineStr">
        <is>
          <t>Horizontal system neuron whose dendritic arbor extends over the dorsal lobula plate (Scott et al., 2002). The area covered by its dendrite corresponds to the center of the large dorsal field of vision. It is electrically coupled to HSE and HSS (Schnell et al., 2010).</t>
        </is>
      </c>
      <c r="E736" t="inlineStr">
        <is>
          <t>Heisenberg et al., 1978, J. Comp. Physiol. 124(4): 287--296 (flybase.org/reports/FBrf0032046); Fischbach and Dittrich, 1989, Cell Tissue Res. 258(3): 441--475 (flybase.org/reports/FBrf0049410); Scott et al., 2002, J. Comp. Neurol. 454(4): 470--481 (flybase.org/reports/FBrf0155898); Rajashekhar and Shamprasad, 2004, J. Biosci., Bangalore 29(1): 93--104 (flybase.org/reports/FBrf0179400); Schnell et al., 2010, J. Neurophysiol. 103(3): 1646--1657 (flybase.org/reports/FBrf0210299)</t>
        </is>
      </c>
      <c r="F736" t="inlineStr"/>
      <c r="G736" t="inlineStr"/>
      <c r="H736" t="inlineStr"/>
    </row>
    <row r="737">
      <c r="A737">
        <f>HYPERLINK("https://www.ebi.ac.uk/ols/ontologies/fbbt/terms?iri=http://purl.obolibrary.org/obo/FBbt_00048347","FBbt:00048347")</f>
        <v/>
      </c>
      <c r="B737" t="inlineStr">
        <is>
          <t>optic lobe-calycal tract 2 neuron 3</t>
        </is>
      </c>
      <c r="C737" t="inlineStr">
        <is>
          <t>OLCT2 cell; OLCT2 neuron 3</t>
        </is>
      </c>
      <c r="D737" t="inlineStr">
        <is>
          <t>Adult projection neuron that receives input in medulla layer 7 and the accessory medulla, then fasciculates with optic lobe-calycal tract 2 to arborize in the ventral accessory calyx (Yagi et al., 2016). It has its cell body near the accessory medulla (Yagi et al., 2016). It also projects to the posterior lateral protocerebrum (Yagi et al., 2016).</t>
        </is>
      </c>
      <c r="E737" t="inlineStr">
        <is>
          <t>Yagi et al., 2016, Sci. Rep. 6: 29481 (flybase.org/reports/FBrf0232885)</t>
        </is>
      </c>
      <c r="F737" t="inlineStr"/>
      <c r="G737" t="inlineStr"/>
      <c r="H737" t="inlineStr"/>
    </row>
    <row r="738">
      <c r="A738">
        <f>HYPERLINK("https://www.ebi.ac.uk/ols/ontologies/fbbt/terms?iri=http://purl.obolibrary.org/obo/FBbt_00048346","FBbt:00048346")</f>
        <v/>
      </c>
      <c r="B738" t="inlineStr">
        <is>
          <t>optic lobe-calycal tract 2 neuron 2</t>
        </is>
      </c>
      <c r="C738" t="inlineStr">
        <is>
          <t>OLCT2 cell; OLCT2 neuron 2</t>
        </is>
      </c>
      <c r="D738" t="inlineStr">
        <is>
          <t>Adult projection neuron that receives input in the ventralmost part of medulla layer 7 and the accessory medulla, then fasciculates with optic lobe-calycal tract 2 to arborize in the ventral accessory calyx (Yagi et al., 2016). It has its cell body near the accessory medulla (Yagi et al., 2016). It also projects to the posterior lateral protocerebrum and the superior posterior slope (Yagi et al., 2016).</t>
        </is>
      </c>
      <c r="E738" t="inlineStr">
        <is>
          <t>Yagi et al., 2016, Sci. Rep. 6: 29481 (flybase.org/reports/FBrf0232885)</t>
        </is>
      </c>
      <c r="F738" t="inlineStr"/>
      <c r="G738" t="inlineStr"/>
      <c r="H738" t="inlineStr"/>
    </row>
    <row r="739">
      <c r="A739">
        <f>HYPERLINK("https://www.ebi.ac.uk/ols/ontologies/fbbt/terms?iri=http://purl.obolibrary.org/obo/FBbt_00048342","FBbt:00048342")</f>
        <v/>
      </c>
      <c r="B739" t="inlineStr">
        <is>
          <t>optic lobe-calycal tract 2 neuron 1</t>
        </is>
      </c>
      <c r="C739" t="inlineStr">
        <is>
          <t>OLCT2 neuron 1; OLCT2 cell</t>
        </is>
      </c>
      <c r="D739" t="inlineStr">
        <is>
          <t>Adult projection neuron that receives input in medulla layer 7 and fasciculates with optic lobe-calycal tract 2 to arborize in the ventral accessory calyx (Yagi et al., 2016). It has its cell body near the accessory medulla (Yagi et al., 2016). It also projects to the posterior lateral protocerebrum (Yagi et al., 2016).</t>
        </is>
      </c>
      <c r="E739" t="inlineStr">
        <is>
          <t>Yagi et al., 2016, Sci. Rep. 6: 29481 (flybase.org/reports/FBrf0232885)</t>
        </is>
      </c>
      <c r="F739" t="inlineStr"/>
      <c r="G739" t="inlineStr"/>
      <c r="H739" t="inlineStr"/>
    </row>
    <row r="740">
      <c r="A740">
        <f>HYPERLINK("https://www.ebi.ac.uk/ols/ontologies/fbbt/terms?iri=http://purl.obolibrary.org/obo/FBbt_00048128","FBbt:00048128")</f>
        <v/>
      </c>
      <c r="B740" t="inlineStr">
        <is>
          <t>vertical system-like neuron</t>
        </is>
      </c>
      <c r="C740" t="inlineStr">
        <is>
          <t>VSlike</t>
        </is>
      </c>
      <c r="D740" t="inlineStr">
        <is>
          <t>Lobular plate tangential neuron that resembles a vertical system neuron, but with a smaller diameter and sparser dendrites. They innervate the superior, but not inferior, posterior slope (Boergens et al., 2018).</t>
        </is>
      </c>
      <c r="E740" t="inlineStr">
        <is>
          <t>Boergens et al., 2018, PLoS ONE 13(11): e0207828 (flybase.org/reports/FBrf0240805)</t>
        </is>
      </c>
      <c r="F740" t="inlineStr"/>
      <c r="G740" t="inlineStr"/>
      <c r="H740" t="inlineStr"/>
    </row>
    <row r="741">
      <c r="A741">
        <f>HYPERLINK("https://www.ebi.ac.uk/ols/ontologies/fbbt/terms?iri=http://purl.obolibrary.org/obo/FBbt_00047189","FBbt:00047189")</f>
        <v/>
      </c>
      <c r="B741" t="inlineStr">
        <is>
          <t>ITP and CRY expressing LNd neuron</t>
        </is>
      </c>
      <c r="C741" t="inlineStr">
        <is>
          <t>ITP/CRY coexpressing LNd neuron; ITP+/CRY+ LNd neuron; ITP+ LNd neuron; ITP and CRY positive LNd neuron; ITP+ CRY+ LNd neuron; ITP positive LNd neuron; ITP expressing LNd neuron</t>
        </is>
      </c>
      <c r="D741" t="inlineStr">
        <is>
          <t>LNd neuron of the adult brain characterized by the expression of ion transport peptide (ITP) and cryptochrome (CRY). From the cell body in the anterior ventrolateral protocerebrum (AVLP), the neuron projects medially around the anterior optic tract (AOT) and dorsally along the surface of the lateral horn (LH). At the posterior surface of the LH, the neuron branches. One main branch projects towards the medulla, via the posterior lateral protocerebrum (PLP) and the accessory medulla (AME), with extensive further branching. The other main branch innervates the superior neuropils. Projections from both hemispheres overlap in the superior medial protocerebrum (SMP). This describes one of the six LNd neurons per hemisphere.</t>
        </is>
      </c>
      <c r="E741" t="inlineStr">
        <is>
          <t>Schubert et al., 2018, J. Comp. Neurol. 526(7): 1209--1231 (flybase.org/reports/FBrf0238313)</t>
        </is>
      </c>
      <c r="F741" t="inlineStr"/>
      <c r="G741" t="inlineStr"/>
      <c r="H741" t="inlineStr"/>
    </row>
    <row r="742">
      <c r="A742">
        <f>HYPERLINK("https://www.ebi.ac.uk/ols/ontologies/fbbt/terms?iri=http://purl.obolibrary.org/obo/FBbt_00007517","FBbt:00007517")</f>
        <v/>
      </c>
      <c r="B742" t="inlineStr">
        <is>
          <t>vertical system neuron 1</t>
        </is>
      </c>
      <c r="C742" t="inlineStr">
        <is>
          <t>VS1 neuron</t>
        </is>
      </c>
      <c r="D742" t="inlineStr">
        <is>
          <t>The outermost vertical system neuron. This neuron has a main dendritic shaft that produces one or a few dorsally projecting branches before sweeping ventrally. As the main shaft extends ventrally, it continues to produce smaller branches that combine to form a narrow band covering the most lateral part of the lobula plate. This cell is relatively flat but extends anteriorly in the dorsal aspect of its dendritic tree (Scott et al., 2002). Its receptive field of vision is the most frontal of all VS cells. It is electrically coupled to VS2 (Joesch et al., 2008). It extends a substantial proportion of processes into lobula plate layer 2 as well as layer 4 (Boergens et al., 2018).</t>
        </is>
      </c>
      <c r="E742" t="inlineStr">
        <is>
          <t>Scott et al., 2002, J. Comp. Neurol. 454(4): 470--481 (flybase.org/reports/FBrf0155898); Joesch et al., 2008, Curr. Biol. 18(5): 368--374 (flybase.org/reports/FBrf0204334)</t>
        </is>
      </c>
      <c r="F742" t="inlineStr"/>
      <c r="G742" t="inlineStr"/>
      <c r="H742" t="inlineStr"/>
    </row>
    <row r="743">
      <c r="A743">
        <f>HYPERLINK("https://www.ebi.ac.uk/ols/ontologies/fbbt/terms?iri=http://purl.obolibrary.org/obo/FBbt_00007518","FBbt:00007518")</f>
        <v/>
      </c>
      <c r="B743" t="inlineStr">
        <is>
          <t>vertical system neuron 2</t>
        </is>
      </c>
      <c r="C743" t="inlineStr">
        <is>
          <t>VS2 neuron</t>
        </is>
      </c>
      <c r="D743" t="inlineStr">
        <is>
          <t>Vertical system neuron whose dendritic tree within the lobula plate partially overlaps with that of vertical system neuron 1 (VS1) but extends more medially. Its major dendritic shaft sweeps from dorsal to ventral. Its dendritic tree is less highly branched than that of VS1 and is very flattened in the anterior-posterior axis, with all of its dendritic structures among the posterior dendrites of the vertical system (Scott et al., 2002). Its receptive field of vision is in between the receptive fields of VS1 and VS3. It is electrically coupled to VS1 and VS3 (Joesch et al., 2008). There is a small patch of innervation into lobula plate layer 2, but the majority is in layer 4 (Boergens et al., 2018).</t>
        </is>
      </c>
      <c r="E743" t="inlineStr">
        <is>
          <t>Scott et al., 2002, J. Comp. Neurol. 454(4): 470--481 (flybase.org/reports/FBrf0155898); Joesch et al., 2008, Curr. Biol. 18(5): 368--374 (flybase.org/reports/FBrf0204334)</t>
        </is>
      </c>
      <c r="F743" t="inlineStr"/>
      <c r="G743" t="inlineStr"/>
      <c r="H743" t="inlineStr"/>
    </row>
    <row r="744">
      <c r="A744">
        <f>HYPERLINK("https://www.ebi.ac.uk/ols/ontologies/fbbt/terms?iri=http://purl.obolibrary.org/obo/FBbt_00007519","FBbt:00007519")</f>
        <v/>
      </c>
      <c r="B744" t="inlineStr">
        <is>
          <t>vertical system neuron 3</t>
        </is>
      </c>
      <c r="C744" t="inlineStr">
        <is>
          <t>VS3 neuron</t>
        </is>
      </c>
      <c r="D744" t="inlineStr">
        <is>
          <t>Vertical system neuron with both dorsally and ventrally sweeping major branches and whose dorsal dendritic tree extends anteriorly and posteriorly. Unlike vertical system neuron 2, its dorsal dendrites continue to slant laterally as they extend dorsally and have a major component that extends anteriorly (Scott et al., 2002). Its receptive field of vision is in between the receptive fields of VS2 (more frontal) and VS4 (more lateral). It is electrically coupled to VS2 and VS4 (Joesch et al., 2008).</t>
        </is>
      </c>
      <c r="E744" t="inlineStr">
        <is>
          <t>Scott et al., 2002, J. Comp. Neurol. 454(4): 470--481 (flybase.org/reports/FBrf0155898); Joesch et al., 2008, Curr. Biol. 18(5): 368--374 (flybase.org/reports/FBrf0204334)</t>
        </is>
      </c>
      <c r="F744" t="inlineStr"/>
      <c r="G744" t="inlineStr"/>
      <c r="H744" t="inlineStr"/>
    </row>
    <row r="745">
      <c r="A745">
        <f>HYPERLINK("https://www.ebi.ac.uk/ols/ontologies/fbbt/terms?iri=http://purl.obolibrary.org/obo/FBbt_00047186","FBbt:00047186")</f>
        <v/>
      </c>
      <c r="B745" t="inlineStr">
        <is>
          <t>sNPF and CRY expressing LNd neuron</t>
        </is>
      </c>
      <c r="C745" t="inlineStr">
        <is>
          <t>sNPF+ CRY+ LNd neuron; sNPF and CRY positive LNd neuron; sNPF positive LNd neuron; sNPF expressing LNd neuron; sNPF+ LNd neuron; sNPF/CRY coexpressing LNd neuron; sNPF+/CRY+ LNd neuron</t>
        </is>
      </c>
      <c r="D745" t="inlineStr">
        <is>
          <t>LNd neuron of the adult brain characterized by the expression of short neuropeptide F (sNPF) and cryptochrome (CRY), and the absence of ion transport peptide (ITP). From the posterior surface of the lateral horn (LH), one branch descends towards, but does not innervate, the accessory medulla (AME), running along the edge of the posterior lateral protocerebrum (PLP) and innervating more medial locations. Another branch projects to the superior lateral protocerebrum (SLP), where it trifurcates, with two projections continuing to dorsal parts of the brain and one running to the anterior optic tubercle (AOTU). This describes two of the six LNd neurons per hemisphere.</t>
        </is>
      </c>
      <c r="E745" t="inlineStr">
        <is>
          <t>Schubert et al., 2018, J. Comp. Neurol. 526(7): 1209--1231 (flybase.org/reports/FBrf0238313)</t>
        </is>
      </c>
      <c r="F745" t="inlineStr"/>
      <c r="G745" t="inlineStr"/>
      <c r="H745" t="inlineStr"/>
    </row>
    <row r="746">
      <c r="A746">
        <f>HYPERLINK("https://www.ebi.ac.uk/ols/ontologies/fbbt/terms?iri=http://purl.obolibrary.org/obo/FBbt_00047187","FBbt:00047187")</f>
        <v/>
      </c>
      <c r="B746" t="inlineStr">
        <is>
          <t>CRY negative LNd neuron</t>
        </is>
      </c>
      <c r="C746" t="inlineStr">
        <is>
          <t>CRY lacking LNd neuron; CRY- LNd neuron; CRY absent LNd neuron; non-CRY LNd neuron</t>
        </is>
      </c>
      <c r="D746" t="inlineStr">
        <is>
          <t>LNd neuron of the adult brain characterized by the absence of cryptochrome (CRY). These neurons follow the anterior optic tract (AOT), then proceed dorsally on the anterior surface of the lateral horn (LH) to the dorsal side of the brain, where they turn medially to run into the superior neuropils. Branches innervate the superior lateral protocerebrum (SLP), the superior intermediate protocerebrum (SIP) and the superior medial protocerebrum (SMP). Unlike other LNd neurons, they do not cross into the contralateral hemisphere. This describes three of the six LNd neurons per hemisphere.</t>
        </is>
      </c>
      <c r="E746" t="inlineStr">
        <is>
          <t>Schubert et al., 2018, J. Comp. Neurol. 526(7): 1209--1231 (flybase.org/reports/FBrf0238313)</t>
        </is>
      </c>
      <c r="F746" t="inlineStr"/>
      <c r="G746" t="inlineStr"/>
      <c r="H746" t="inlineStr"/>
    </row>
    <row r="747">
      <c r="A747">
        <f>HYPERLINK("https://www.ebi.ac.uk/ols/ontologies/fbbt/terms?iri=http://purl.obolibrary.org/obo/FBbt_00048336","FBbt:00048336")</f>
        <v/>
      </c>
      <c r="B747" t="inlineStr">
        <is>
          <t>optic lobe-calycal tract 1 neuron 1</t>
        </is>
      </c>
      <c r="C747" t="inlineStr">
        <is>
          <t>OLCT1 neuron 1; OCLT1 cell</t>
        </is>
      </c>
      <c r="D747" t="inlineStr">
        <is>
          <t>Adult projection neuron that receives input in the dorsal three-quarters of lobula layer 6 and fasciculates with optic lobe-calycal tract 1 to arborize in the ventral accessory calyx and the anterior part of the dorsal accessory calyx (Yagi et al., 2016). It has its cell body near the accessory medulla (Yagi et al., 2016). It also projects to the superior and inferior clamp, and the superior and posterior lateral protocerebrum (Yagi et al., 2016).</t>
        </is>
      </c>
      <c r="E747" t="inlineStr">
        <is>
          <t>Yagi et al., 2016, Sci. Rep. 6: 29481 (flybase.org/reports/FBrf0232885)</t>
        </is>
      </c>
      <c r="F747" t="inlineStr"/>
      <c r="G747" t="inlineStr"/>
      <c r="H747" t="inlineStr"/>
    </row>
    <row r="748">
      <c r="A748">
        <f>HYPERLINK("https://www.ebi.ac.uk/ols/ontologies/fbbt/terms?iri=http://purl.obolibrary.org/obo/FBbt_00003880","FBbt:00003880")</f>
        <v/>
      </c>
      <c r="B748" t="inlineStr">
        <is>
          <t>lobula complex columnar neuron Lccn1</t>
        </is>
      </c>
      <c r="C748" t="inlineStr">
        <is>
          <t>Lccn1; lobular complex columnar neuron Lccn1</t>
        </is>
      </c>
      <c r="D748" t="inlineStr">
        <is>
          <t>Extrinsic columnar neuron of the optic lobe that enters the lobula plate proximally. It bifurcates in the proximal lobula with both branches innervating the lobula and the lobula plate. Between them, these branches reach all layers of both regions. A branch is formed prior to entry into the lobula and this projects to the central brain.</t>
        </is>
      </c>
      <c r="E748" t="inlineStr">
        <is>
          <t>Fischbach and Dittrich, 1989, Cell Tissue Res. 258(3): 441--475 (flybase.org/reports/FBrf0049410)</t>
        </is>
      </c>
      <c r="F748" t="inlineStr"/>
      <c r="G748" t="inlineStr"/>
      <c r="H748" t="inlineStr"/>
    </row>
    <row r="749">
      <c r="A749">
        <f>HYPERLINK("https://www.ebi.ac.uk/ols/ontologies/fbbt/terms?iri=http://purl.obolibrary.org/obo/FBbt_00003881","FBbt:00003881")</f>
        <v/>
      </c>
      <c r="B749" t="inlineStr">
        <is>
          <t>lobula complex columnar neuron Lccn2</t>
        </is>
      </c>
      <c r="C749" t="inlineStr">
        <is>
          <t>Lccn2; lobular complex columnar neuron Lccn2</t>
        </is>
      </c>
      <c r="D749" t="inlineStr">
        <is>
          <t>Extrinsic columnar neuron of the optic lobe whose soma lies in the cortex of the lobula plate. It bifurcates close to the soma, with one branch entering the lobula plate, in which it arborizes with both fine and bleb-type terminals at layers 1-4. This branch terminates in lobula layer 4 with an arbor that also has both fine and bleb-type terminals. The other branch goes to the central brain. It is a GABAergic neuron.</t>
        </is>
      </c>
      <c r="E749" t="inlineStr">
        <is>
          <t>Fischbach and Dittrich, 1989, Cell Tissue Res. 258(3): 441--475 (flybase.org/reports/FBrf0049410); Raghu et al., 2013, J. Comp. Neurol. 521(1): 252--265 (flybase.org/reports/FBrf0220286)</t>
        </is>
      </c>
      <c r="F749" t="inlineStr"/>
      <c r="G749" t="inlineStr"/>
      <c r="H749" t="inlineStr"/>
    </row>
    <row r="750">
      <c r="A750">
        <f>HYPERLINK("https://www.ebi.ac.uk/ols/ontologies/fbbt/terms?iri=http://purl.obolibrary.org/obo/FBbt_00048351","FBbt:00048351")</f>
        <v/>
      </c>
      <c r="B750" t="inlineStr">
        <is>
          <t>optic lobe-calycal tract 5 neuron 1</t>
        </is>
      </c>
      <c r="C750" t="inlineStr">
        <is>
          <t>OLCT5 neuron 1; OLCT5 cell</t>
        </is>
      </c>
      <c r="D750" t="inlineStr">
        <is>
          <t>Adult projection neuron that receives input in the dorsal three-quarters of medulla layer 7 and the accessory medulla and fasciculates with optic lobe-calycal tract 5 to arborize contralaterally in the ventral accessory calyx and the dorsal accessory calyx (Yagi et al., 2016). It has its cell body near the superior posterior slope (Yagi et al., 2016). It also projects to the superior medial protocerebrum, the antler, the superior and inferior clamp, and the superior and posterior lateral protocerebrum (Yagi et al., 2016).</t>
        </is>
      </c>
      <c r="E750" t="inlineStr">
        <is>
          <t>Yagi et al., 2016, Sci. Rep. 6: 29481 (flybase.org/reports/FBrf0232885)</t>
        </is>
      </c>
      <c r="F750" t="inlineStr"/>
      <c r="G750" t="inlineStr"/>
      <c r="H750" t="inlineStr"/>
    </row>
    <row r="751">
      <c r="A751">
        <f>HYPERLINK("https://www.ebi.ac.uk/ols/ontologies/fbbt/terms?iri=http://purl.obolibrary.org/obo/FBbt_00048350","FBbt:00048350")</f>
        <v/>
      </c>
      <c r="B751" t="inlineStr">
        <is>
          <t>optic lobe-calycal tract 4 neuron 1</t>
        </is>
      </c>
      <c r="C751" t="inlineStr">
        <is>
          <t>OLCT4 neuron 1; OLCT4 cell</t>
        </is>
      </c>
      <c r="D751" t="inlineStr">
        <is>
          <t>Adult projection neuron that receives input in lobula layer 6, medulla layer 7 and the accessory medulla, then fasciculates with optic lobe-calycal tract 4 to arborize in the ventral accessory calyx (Yagi et al., 2016). It has its cell body near the accessory medulla (Yagi et al., 2016). It also projects to the posterior lateral protocerebrum, the inferior clamp and the wedge (Yagi et al., 2016).</t>
        </is>
      </c>
      <c r="E751" t="inlineStr">
        <is>
          <t>Yagi et al., 2016, Sci. Rep. 6: 29481 (flybase.org/reports/FBrf0232885)</t>
        </is>
      </c>
      <c r="F751" t="inlineStr"/>
      <c r="G751" t="inlineStr"/>
      <c r="H751" t="inlineStr"/>
    </row>
    <row r="752">
      <c r="A752">
        <f>HYPERLINK("https://www.ebi.ac.uk/ols/ontologies/fbbt/terms?iri=http://purl.obolibrary.org/obo/FBbt_00110047","FBbt:00110047")</f>
        <v/>
      </c>
      <c r="B752" t="inlineStr">
        <is>
          <t>adult optic lobe OL Tachykinin neuron</t>
        </is>
      </c>
      <c r="C752" t="inlineStr">
        <is>
          <t>adult OL neuron; optic lobe tachykinin neuron</t>
        </is>
      </c>
      <c r="D752" t="inlineStr">
        <is>
          <t>Adult neuron that expresses Tachykinin (FBgn0037976) and whose cell body is located at the base of the optic lobe. There are about 10 pairs of cell bodies per hemisphere (Winther et al., 2003).</t>
        </is>
      </c>
      <c r="E752" t="inlineStr">
        <is>
          <t>Winther et al., 2003, J. Comp. Neurol. 464(2): 180--196 (flybase.org/reports/FBrf0162212)</t>
        </is>
      </c>
      <c r="F752" t="inlineStr"/>
      <c r="G752" t="inlineStr"/>
      <c r="H752" t="inlineStr"/>
    </row>
    <row r="753">
      <c r="A753">
        <f>HYPERLINK("https://www.ebi.ac.uk/ols/ontologies/fbbt/terms?iri=http://purl.obolibrary.org/obo/FBbt_00048349","FBbt:00048349")</f>
        <v/>
      </c>
      <c r="B753" t="inlineStr">
        <is>
          <t>optic lobe-calycal tract 3 neuron 1</t>
        </is>
      </c>
      <c r="C753" t="inlineStr">
        <is>
          <t>OLCT3 neuron 1; OLCT3 cell</t>
        </is>
      </c>
      <c r="D753" t="inlineStr">
        <is>
          <t>Adult projection neuron that receives input in the accessory medulla and fasciculates with optic lobe-calycal tract 3 to arborize in the lateral accessory calyx (Yagi et al., 2016). It has its cell body near the superior lateral protocerebrum (Yagi et al., 2016). It also projects to the superior and posterior lateral protocerebrum (Yagi et al., 2016).</t>
        </is>
      </c>
      <c r="E753" t="inlineStr">
        <is>
          <t>Yagi et al., 2016, Sci. Rep. 6: 29481 (flybase.org/reports/FBrf0232885)</t>
        </is>
      </c>
      <c r="F753" t="inlineStr"/>
      <c r="G753" t="inlineStr"/>
      <c r="H753" t="inlineStr"/>
    </row>
    <row r="754">
      <c r="A754">
        <f>HYPERLINK("https://www.ebi.ac.uk/ols/ontologies/fbbt/terms?iri=http://purl.obolibrary.org/obo/FBbt_00111404","FBbt:00111404")</f>
        <v/>
      </c>
      <c r="B754" t="inlineStr">
        <is>
          <t>PB-FB-NO subunit 3 posterior domain neuron</t>
        </is>
      </c>
      <c r="C754" t="inlineStr">
        <is>
          <t>PB1-glomerulus&gt;FBf-NoL4; PBG2-9.s-FBl1.b-NO3P.b neuron; PB1-glomerulus&gt;FBf-NoR4</t>
        </is>
      </c>
      <c r="D754" t="inlineStr">
        <is>
          <t>Small field neuron of the central complex with dendritic arbors in a single glomerulus of the protocerebral bridge (except glomerulus 1) and axon terminals in fan-shaped body layer 1 (layer f) and the contralateral posterior domain of nodulus subunit III.</t>
        </is>
      </c>
      <c r="E754" t="inlineStr">
        <is>
          <t>Lin et al., 2013, Cell Rep. 3(5): 1739--1753 (flybase.org/reports/FBrf0221742); Wolff et al., 2015, J. Comp. Neurol. 523(7): 997--1037 (flybase.org/reports/FBrf0227801)</t>
        </is>
      </c>
      <c r="F754" t="inlineStr"/>
      <c r="G754" t="inlineStr"/>
      <c r="H754" t="inlineStr"/>
    </row>
    <row r="755">
      <c r="A755">
        <f>HYPERLINK("https://www.ebi.ac.uk/ols/ontologies/fbbt/terms?iri=http://purl.obolibrary.org/obo/FBbt_00048348","FBbt:00048348")</f>
        <v/>
      </c>
      <c r="B755" t="inlineStr">
        <is>
          <t>optic lobe-calycal tract 2 neuron 4</t>
        </is>
      </c>
      <c r="C755" t="inlineStr">
        <is>
          <t>OLCT2 cell; OLCT2 neuron 4</t>
        </is>
      </c>
      <c r="D755" t="inlineStr">
        <is>
          <t>Adult projection neuron that receives input in ventral parts of medulla layers 1-7 and the accessory medulla, then fasciculates with optic lobe-calycal tract 2 to arborize in the ventral accessory calyx (Yagi et al., 2016). It has its cell body near the accessory medulla (Yagi et al., 2016). It also projects to the posterior lateral protocerebrum and the inferior clamp (Yagi et al., 2016).</t>
        </is>
      </c>
      <c r="E755" t="inlineStr">
        <is>
          <t>Yagi et al., 2016, Sci. Rep. 6: 29481 (flybase.org/reports/FBrf0232885)</t>
        </is>
      </c>
      <c r="F755" t="inlineStr"/>
      <c r="G755" t="inlineStr"/>
      <c r="H755" t="inlineStr"/>
    </row>
    <row r="756">
      <c r="A756">
        <f>HYPERLINK("https://www.ebi.ac.uk/ols/ontologies/fbbt/terms?iri=http://purl.obolibrary.org/obo/FBbt_00047356","FBbt:00047356")</f>
        <v/>
      </c>
      <c r="B756" t="inlineStr">
        <is>
          <t>adult subesophageal lateral glial cell</t>
        </is>
      </c>
      <c r="C756" t="inlineStr">
        <is>
          <t>SLG; subesophageal lateral neuron; SLN; dsx-expressing Subesophageal Lateral Neuron; doublesex-expressing Subesophageal Lateral Neuron; dsx-SLN</t>
        </is>
      </c>
      <c r="D756" t="inlineStr">
        <is>
          <t>Doublesex-expressing glial cell found in the lateral part of the subesophageal ganglion (gnathal ganglion). This cell originally appears in the ventrolateral optic cleft of the pupa, but is later found in a scattered distribution consistent with the migratory nature of glia in the CNS (Robinett et al., 2010).</t>
        </is>
      </c>
      <c r="E756" t="inlineStr">
        <is>
          <t>Lee et al., 2002, J. Neurogenet. 16(4): 229--248 (flybase.org/reports/FBrf0159058); Robinett et al., 2010, PLoS Biol. 8(5): e1000365 (flybase.org/reports/FBrf0210735)</t>
        </is>
      </c>
      <c r="F756" t="inlineStr"/>
      <c r="G756" t="inlineStr"/>
      <c r="H756" t="inlineStr"/>
    </row>
    <row r="757">
      <c r="A757">
        <f>HYPERLINK("https://www.ebi.ac.uk/ols/ontologies/fbbt/terms?iri=http://purl.obolibrary.org/obo/FBbt_00100170","FBbt:00100170")</f>
        <v/>
      </c>
      <c r="B757" t="inlineStr">
        <is>
          <t>extra LNd neuron</t>
        </is>
      </c>
      <c r="C757" t="inlineStr">
        <is>
          <t>None</t>
        </is>
      </c>
      <c r="D757" t="inlineStr">
        <is>
          <t>LNd neuron of the adult brain characterized by having a slightly larger nucleus and cytoplasmic area compared to the other LNd neurons.</t>
        </is>
      </c>
      <c r="E757" t="inlineStr">
        <is>
          <t>Rieger et al., 2006, J. Neurosci. 26(9): 2531--2543 (flybase.org/reports/FBrf0191052)</t>
        </is>
      </c>
      <c r="F757" t="inlineStr"/>
      <c r="G757" t="inlineStr"/>
      <c r="H757" t="inlineStr"/>
    </row>
    <row r="758">
      <c r="A758">
        <f>HYPERLINK("https://www.ebi.ac.uk/ols/ontologies/fbbt/terms?iri=http://purl.obolibrary.org/obo/FBbt_00003654","FBbt:00003654")</f>
        <v/>
      </c>
      <c r="B758" t="inlineStr">
        <is>
          <t>extrinsic ring neuron</t>
        </is>
      </c>
      <c r="C758" t="inlineStr">
        <is>
          <t>ExR</t>
        </is>
      </c>
      <c r="D758" t="inlineStr">
        <is>
          <t>Ring neuron with arborizations outside the central complex.</t>
        </is>
      </c>
      <c r="E758" t="inlineStr">
        <is>
          <t>Hanesch et al., 1989, Cell Tissue Res. 257(2): 343--366 (flybase.org/reports/FBrf0049409)</t>
        </is>
      </c>
      <c r="F758" t="inlineStr"/>
      <c r="G758" t="inlineStr"/>
      <c r="H758" t="inlineStr"/>
    </row>
    <row r="759">
      <c r="A759">
        <f>HYPERLINK("https://www.ebi.ac.uk/ols/ontologies/fbbt/terms?iri=http://purl.obolibrary.org/obo/FBbt_00007526","FBbt:00007526")</f>
        <v/>
      </c>
      <c r="B759" t="inlineStr">
        <is>
          <t>pontine neuron P4</t>
        </is>
      </c>
      <c r="C759" t="inlineStr">
        <is>
          <t>None</t>
        </is>
      </c>
      <c r="D759" t="inlineStr">
        <is>
          <t>Pontine neuron of the fan-shaped body that arborizes in a single segment and connects dorsal and ventral layers.</t>
        </is>
      </c>
      <c r="E759" t="inlineStr">
        <is>
          <t>Young and Armstrong, 2010, J. Comp. Neurol. 518(9): 1500--1524 (flybase.org/reports/FBrf0210154)</t>
        </is>
      </c>
      <c r="F759" t="inlineStr"/>
      <c r="G759" t="inlineStr"/>
      <c r="H759" t="inlineStr"/>
    </row>
    <row r="760">
      <c r="A760">
        <f>HYPERLINK("https://www.ebi.ac.uk/ols/ontologies/fbbt/terms?iri=http://purl.obolibrary.org/obo/FBbt_00048039","FBbt:00048039")</f>
        <v/>
      </c>
      <c r="B760" t="inlineStr">
        <is>
          <t>fb-eb 1 neuron</t>
        </is>
      </c>
      <c r="C760" t="inlineStr">
        <is>
          <t>CX-SFN (fb-eb 1)</t>
        </is>
      </c>
      <c r="D760" t="inlineStr">
        <is>
          <t>Small field fb-eb neuron of the central complex that has presynapses in the dorsal fan-shaped body and postsynapses in the central fan-shaped body and the posterior ellipsoid body.</t>
        </is>
      </c>
      <c r="E760" t="inlineStr">
        <is>
          <t>Hanesch et al., 1989, Cell Tissue Res. 257(2): 343--366 (flybase.org/reports/FBrf0049409); Kong et al., 2010, PLoS ONE 5(4): e9954 (flybase.org/reports/FBrf0210514)</t>
        </is>
      </c>
      <c r="F760" t="inlineStr"/>
      <c r="G760" t="inlineStr"/>
      <c r="H760" t="inlineStr"/>
    </row>
    <row r="761">
      <c r="A761">
        <f>HYPERLINK("https://www.ebi.ac.uk/ols/ontologies/fbbt/terms?iri=http://purl.obolibrary.org/obo/FBbt_00003659","FBbt:00003659")</f>
        <v/>
      </c>
      <c r="B761" t="inlineStr">
        <is>
          <t>lateral fan-shaped neuron Fl</t>
        </is>
      </c>
      <c r="C761" t="inlineStr">
        <is>
          <t>None</t>
        </is>
      </c>
      <c r="D761" t="inlineStr">
        <is>
          <t>Fan-shaped neuron with a fiber that reaches the fan-shaped body laterally and that extends along its anterior surface.</t>
        </is>
      </c>
      <c r="E761" t="inlineStr">
        <is>
          <t>Hanesch et al., 1989, Cell Tissue Res. 257(2): 343--366 (flybase.org/reports/FBrf0049409)</t>
        </is>
      </c>
      <c r="F761" t="inlineStr"/>
      <c r="G761" t="inlineStr"/>
      <c r="H761" t="inlineStr"/>
    </row>
    <row r="762">
      <c r="A762">
        <f>HYPERLINK("https://www.ebi.ac.uk/ols/ontologies/fbbt/terms?iri=http://purl.obolibrary.org/obo/FBbt_00047183","FBbt:00047183")</f>
        <v/>
      </c>
      <c r="B762" t="inlineStr">
        <is>
          <t>extra l-LNv neuron</t>
        </is>
      </c>
      <c r="C762" t="inlineStr">
        <is>
          <t>l-LNv extra; l-LNvx</t>
        </is>
      </c>
      <c r="D762" t="inlineStr">
        <is>
          <t>One neuron per cluster of four l-LNv neurons characterized by its more restricted projection pattern on the surface of the ipsi- and contralateral medulla.</t>
        </is>
      </c>
      <c r="E762" t="inlineStr">
        <is>
          <t>Schubert et al., 2018, J. Comp. Neurol. 526(7): 1209--1231 (flybase.org/reports/FBrf0238313)</t>
        </is>
      </c>
      <c r="F762" t="inlineStr"/>
      <c r="G762" t="inlineStr"/>
      <c r="H762" t="inlineStr"/>
    </row>
    <row r="763">
      <c r="A763">
        <f>HYPERLINK("https://www.ebi.ac.uk/ols/ontologies/fbbt/terms?iri=http://purl.obolibrary.org/obo/FBbt_00007536","FBbt:00007536")</f>
        <v/>
      </c>
      <c r="B763" t="inlineStr">
        <is>
          <t>fan-shaped neuron F6</t>
        </is>
      </c>
      <c r="C763" t="inlineStr">
        <is>
          <t>fan shaped neuron F6</t>
        </is>
      </c>
      <c r="D763" t="inlineStr">
        <is>
          <t>Any fan-shaped neuron (FBbt:00003657) that has synaptic terminals in some fan-shaped body layer 6 (FBbt:00007493).</t>
        </is>
      </c>
      <c r="E763" t="inlineStr">
        <is>
          <t>Li et al., 2009, Cell Tissue Res. 336(3): 509--519 (flybase.org/reports/FBrf0207994)</t>
        </is>
      </c>
      <c r="F763" t="inlineStr"/>
      <c r="G763" t="inlineStr"/>
      <c r="H763" t="inlineStr"/>
    </row>
    <row r="764">
      <c r="A764">
        <f>HYPERLINK("https://www.ebi.ac.uk/ols/ontologies/fbbt/terms?iri=http://purl.obolibrary.org/obo/FBbt_00110930","FBbt:00110930")</f>
        <v/>
      </c>
      <c r="B764" t="inlineStr">
        <is>
          <t>alpha/beta surface Kenyon cell</t>
        </is>
      </c>
      <c r="C764" t="inlineStr">
        <is>
          <t>alpha/beta surface neuron; alpha/beta s KC; Kenyon cells (alpha/beta lobe surface); alpha/betas; alpha/beta s Kenyon cell; mushroom body alpha/beta surface neuron; alpha/beta surface KC</t>
        </is>
      </c>
      <c r="D764" t="inlineStr">
        <is>
          <t>Alpha/beta mushroom body neuron that has dendrites in the main calyx and projects axons to the surface layer of the alpha and beta lobes, where they form a continuous layer surrounding the alpha/beta core. There are around 500 neurons in each hemisphere.</t>
        </is>
      </c>
      <c r="E764" t="inlineStr">
        <is>
          <t>Strausfeld et al., 2003, Microsc. Res. Tech. 62(2): 151--169 (flybase.org/reports/FBrf0162233); Tanaka et al., 2004, Curr. Biol. 14(6): 449--457 (flybase.org/reports/FBrf0174482); Aso et al., 2014, eLife 3: e04577 (flybase.org/reports/FBrf0227179)</t>
        </is>
      </c>
      <c r="F764" t="inlineStr"/>
      <c r="G764" t="inlineStr"/>
      <c r="H764" t="inlineStr"/>
    </row>
    <row r="765">
      <c r="A765">
        <f>HYPERLINK("https://www.ebi.ac.uk/ols/ontologies/fbbt/terms?iri=http://purl.obolibrary.org/obo/FBbt_00110931","FBbt:00110931")</f>
        <v/>
      </c>
      <c r="B765" t="inlineStr">
        <is>
          <t>alpha/beta posterior Kenyon cell</t>
        </is>
      </c>
      <c r="C765" t="inlineStr">
        <is>
          <t>alpha/beta pioneer neuron; alpha/betap; alpha/beta p Kenyon cell; alpha/beta posterior KC; Kenyon cell (ACA); alpha/beta posterior neuron; alpha/beta p KC; Kenyon cell of accessory calyx; Kenyon cell (ACX)</t>
        </is>
      </c>
      <c r="D765" t="inlineStr">
        <is>
          <t>Alpha/beta mushroom body neuron that has dendrites in the accessory calyx. It occupies the outermost stratum and the posterior layer at the tip of the alpha and beta lobes. In the shaft region of the alpha lobe, alpha/beta posterior Kenyon cell form mesh-like arrangements, with one or two nodes where axons appear to gather. In the pedunculus, their axons form several bundles, which run through the outermost layer of the central zone. In the calyx, the dendrites run along the surface of the main calyx without forming any arborization. They are the first-born Kenyon cells. There are around 90 neurons in each hemisphere.</t>
        </is>
      </c>
      <c r="E765" t="inlineStr">
        <is>
          <t>Lin et al., 2007, Cell 128(6): 1205--1217 (flybase.org/reports/FBrf0201372); Tanaka et al., 2008, J. Comp. Neurol. 508(5): 711--755 (flybase.org/reports/FBrf0205263); Aso et al., 2014, eLife 3: e04577 (flybase.org/reports/FBrf0227179)</t>
        </is>
      </c>
      <c r="F765" t="inlineStr"/>
      <c r="G765" t="inlineStr"/>
      <c r="H765" t="inlineStr"/>
    </row>
    <row r="766">
      <c r="A766">
        <f>HYPERLINK("https://www.ebi.ac.uk/ols/ontologies/fbbt/terms?iri=http://purl.obolibrary.org/obo/FBbt_00048115","FBbt:00048115")</f>
        <v/>
      </c>
      <c r="B766" t="inlineStr">
        <is>
          <t>adult NPF L1-s neuron (male)</t>
        </is>
      </c>
      <c r="C766" t="inlineStr">
        <is>
          <t>None</t>
        </is>
      </c>
      <c r="D766" t="inlineStr">
        <is>
          <t>Neuropeptide F-expressing neuron of the adult male with a small cell body in the anterior dorsolateral brain. There are usually 2 or 3 of these cells per hemisphere and they also express the male isoform of fruitless (Lee et al., 2006). It expresses timeless and belongs to the LNd clock neurons (Lee et al., 2006).</t>
        </is>
      </c>
      <c r="E766" t="inlineStr">
        <is>
          <t>Lee et al., 2006, Proc. Natl. Acad. Sci. U.S.A. 103(33): 12580--12585 (flybase.org/reports/FBrf0194171)</t>
        </is>
      </c>
      <c r="F766" t="inlineStr"/>
      <c r="G766" t="inlineStr"/>
      <c r="H766" t="inlineStr"/>
    </row>
    <row r="767">
      <c r="A767">
        <f>HYPERLINK("https://www.ebi.ac.uk/ols/ontologies/fbbt/terms?iri=http://purl.obolibrary.org/obo/FBbt_00110315","FBbt:00110315")</f>
        <v/>
      </c>
      <c r="B767" t="inlineStr">
        <is>
          <t>histaminergic HS1 neuron</t>
        </is>
      </c>
      <c r="C767" t="inlineStr">
        <is>
          <t>HS1 neuron; HAIR neuron</t>
        </is>
      </c>
      <c r="D767" t="inlineStr">
        <is>
          <t>Histaminergic neuron whose cell body is located in subesophageal zone of the adult brain, ventral and lateral to the histaminergic HP3 cluster. There is one neuron in each hemisphere.</t>
        </is>
      </c>
      <c r="E767" t="inlineStr">
        <is>
          <t>Nassel and Elekes, 1992, Cell Tissue Res. 267(1): 147--167 (flybase.org/reports/FBrf0055596)</t>
        </is>
      </c>
      <c r="F767" t="inlineStr"/>
      <c r="G767" t="inlineStr"/>
      <c r="H767" t="inlineStr"/>
    </row>
    <row r="768">
      <c r="A768">
        <f>HYPERLINK("https://www.ebi.ac.uk/ols/ontologies/fbbt/terms?iri=http://purl.obolibrary.org/obo/FBbt_00111369","FBbt:00111369")</f>
        <v/>
      </c>
      <c r="B768" t="inlineStr">
        <is>
          <t>PB-EB-NO 1 neuron</t>
        </is>
      </c>
      <c r="C768" t="inlineStr">
        <is>
          <t>PBR1&gt;EBR8P;L8P-NoL1; PBL1&gt;EBR8P;L8P-NoR1</t>
        </is>
      </c>
      <c r="D768" t="inlineStr">
        <is>
          <t>A pb-eb-no neuron of the adult central complex with dendritic arbors in protocerebral bridge glomerulus 2 and axon terminals in the posterior ring of both ellipsoid body slices 8, and the contralateral nodulus subunit I.</t>
        </is>
      </c>
      <c r="E768" t="inlineStr">
        <is>
          <t>Lin et al., 2013, Cell Rep. 3(5): 1739--1753 (flybase.org/reports/FBrf0221742)</t>
        </is>
      </c>
      <c r="F768" t="inlineStr"/>
      <c r="G768" t="inlineStr"/>
      <c r="H768" t="inlineStr"/>
    </row>
    <row r="769">
      <c r="A769">
        <f>HYPERLINK("https://www.ebi.ac.uk/ols/ontologies/fbbt/terms?iri=http://purl.obolibrary.org/obo/FBbt_00003651","FBbt:00003651")</f>
        <v/>
      </c>
      <c r="B769" t="inlineStr">
        <is>
          <t>ring neuron R2</t>
        </is>
      </c>
      <c r="C769" t="inlineStr">
        <is>
          <t>ebR2; R2 neuron</t>
        </is>
      </c>
      <c r="D769" t="inlineStr">
        <is>
          <t>Ring neuron R that arborizes only in the outer ring of the ellipsoid body. Arborizing branches originate in the ellipsoid body canal and radiate outwards.</t>
        </is>
      </c>
      <c r="E769" t="inlineStr">
        <is>
          <t>Hanesch et al., 1989, Cell Tissue Res. 257(2): 343--366 (flybase.org/reports/FBrf0049409); Renn et al., 1999, J. Neurobiol. 41(2): 189--207 (flybase.org/reports/FBrf0111476); Young and Armstrong, 2010, J. Comp. Neurol. 518(9): 1525--1541 (flybase.org/reports/FBrf0210156); Lin et al., 2013, Cell Rep. 3(5): 1739--1753 (flybase.org/reports/FBrf0221742)</t>
        </is>
      </c>
      <c r="F769" t="inlineStr"/>
      <c r="G769" t="inlineStr"/>
      <c r="H769" t="inlineStr"/>
    </row>
    <row r="770">
      <c r="A770">
        <f>HYPERLINK("https://www.ebi.ac.uk/ols/ontologies/fbbt/terms?iri=http://purl.obolibrary.org/obo/FBbt_00003650","FBbt:00003650")</f>
        <v/>
      </c>
      <c r="B770" t="inlineStr">
        <is>
          <t>ring neuron R1</t>
        </is>
      </c>
      <c r="C770" t="inlineStr">
        <is>
          <t>R1 neuron; ebR1</t>
        </is>
      </c>
      <c r="D770" t="inlineStr">
        <is>
          <t>Ring neuron R that arborizes in an inner ring of the ellipsoid body, close to the ellipsoid body canal. Arborizing branches originate in the ellipsoid body canal and extend outwards.</t>
        </is>
      </c>
      <c r="E770" t="inlineStr">
        <is>
          <t>Hanesch et al., 1989, Cell Tissue Res. 257(2): 343--366 (flybase.org/reports/FBrf0049409); Renn et al., 1999, J. Neurobiol. 41(2): 189--207 (flybase.org/reports/FBrf0111476)</t>
        </is>
      </c>
      <c r="F770" t="inlineStr"/>
      <c r="G770" t="inlineStr"/>
      <c r="H770" t="inlineStr"/>
    </row>
    <row r="771">
      <c r="A771">
        <f>HYPERLINK("https://www.ebi.ac.uk/ols/ontologies/fbbt/terms?iri=http://purl.obolibrary.org/obo/FBbt_00111063","FBbt:00111063")</f>
        <v/>
      </c>
      <c r="B771" t="inlineStr">
        <is>
          <t>mushroom body vertical lobe arborizing neuron 2 alpha' anterior-posterior</t>
        </is>
      </c>
      <c r="C771" t="inlineStr">
        <is>
          <t>["MBON-alpha'3ap", 'MBON-16</t>
        </is>
      </c>
      <c r="D771" t="inlineStr">
        <is>
          <t>Subtype of the mushroom body ventral lobe arborizing neuron 2 alpha'. It arborizes in the alpha' anterior-posterior domain and its axon projects to a region ventral to the lateral horn. There is one neuron of this subtype in each hemisphere.</t>
        </is>
      </c>
      <c r="E771" t="inlineStr">
        <is>
          <t>Séjourné et al., 2011, Nat. Neurosci. 14(7): 903--910 (flybase.org/reports/FBrf0214029); Aso et al., 2014, eLife 3: e04577 (flybase.org/reports/FBrf0227179)</t>
        </is>
      </c>
      <c r="F771" t="inlineStr"/>
      <c r="G771" t="inlineStr"/>
      <c r="H771" t="inlineStr"/>
    </row>
    <row r="772">
      <c r="A772">
        <f>HYPERLINK("https://www.ebi.ac.uk/ols/ontologies/fbbt/terms?iri=http://purl.obolibrary.org/obo/FBbt_00111064","FBbt:00111064")</f>
        <v/>
      </c>
      <c r="B772" t="inlineStr">
        <is>
          <t>mushroom body vertical lobe arborizing neuron 2 alpha' middle</t>
        </is>
      </c>
      <c r="C772" t="inlineStr">
        <is>
          <t>["MBON-alpha'3m", 'MBON-17</t>
        </is>
      </c>
      <c r="D772" t="inlineStr">
        <is>
          <t>Subtype of the mushroom body ventral lobe arborizing neuron 2 alpha'. It arborizes in the alpha' middle domain and its axon projects to the lateral horn. There are two neurons of this subtype in each hemisphere.</t>
        </is>
      </c>
      <c r="E772" t="inlineStr">
        <is>
          <t>Séjourné et al., 2011, Nat. Neurosci. 14(7): 903--910 (flybase.org/reports/FBrf0214029); Aso et al., 2014, eLife 3: e04577 (flybase.org/reports/FBrf0227179)</t>
        </is>
      </c>
      <c r="F772" t="inlineStr"/>
      <c r="G772" t="inlineStr"/>
      <c r="H772" t="inlineStr"/>
    </row>
    <row r="773">
      <c r="A773">
        <f>HYPERLINK("https://www.ebi.ac.uk/ols/ontologies/fbbt/terms?iri=http://purl.obolibrary.org/obo/FBbt_00048040","FBbt:00048040")</f>
        <v/>
      </c>
      <c r="B773" t="inlineStr">
        <is>
          <t>fb-eb 2 neuron</t>
        </is>
      </c>
      <c r="C773" t="inlineStr">
        <is>
          <t>CX-SFN (fb-eb 2)</t>
        </is>
      </c>
      <c r="D773" t="inlineStr">
        <is>
          <t>Small field fb-eb neuron of the central complex that has one region of innervation in the fan-shaped body and two in the ellipsoid body.</t>
        </is>
      </c>
      <c r="E773" t="inlineStr">
        <is>
          <t>Hanesch et al., 1989, Cell Tissue Res. 257(2): 343--366 (flybase.org/reports/FBrf0049409)</t>
        </is>
      </c>
      <c r="F773" t="inlineStr"/>
      <c r="G773" t="inlineStr"/>
      <c r="H773" t="inlineStr"/>
    </row>
    <row r="774">
      <c r="A774">
        <f>HYPERLINK("https://www.ebi.ac.uk/ols/ontologies/fbbt/terms?iri=http://purl.obolibrary.org/obo/FBbt_00111373","FBbt:00111373")</f>
        <v/>
      </c>
      <c r="B774" t="inlineStr">
        <is>
          <t>PB-EB-NO 6 neuron</t>
        </is>
      </c>
      <c r="C774" t="inlineStr">
        <is>
          <t>PBR6&gt;EBR2P;R3P-NoL1</t>
        </is>
      </c>
      <c r="D774" t="inlineStr">
        <is>
          <t>A pb-eb-no neuron of the adult central complex with dendritic arbors in protocerebral bridge glomerulus 7 and axon terminals in the posterior ring of ipsilateral ellipsoid body slices 2 and 3, and the contralateral nodulus subunit I.</t>
        </is>
      </c>
      <c r="E774" t="inlineStr">
        <is>
          <t>Lin et al., 2013, Cell Rep. 3(5): 1739--1753 (flybase.org/reports/FBrf0221742)</t>
        </is>
      </c>
      <c r="F774" t="inlineStr"/>
      <c r="G774" t="inlineStr"/>
      <c r="H774" t="inlineStr"/>
    </row>
    <row r="775">
      <c r="A775">
        <f>HYPERLINK("https://www.ebi.ac.uk/ols/ontologies/fbbt/terms?iri=http://purl.obolibrary.org/obo/FBbt_00007523","FBbt:00007523")</f>
        <v/>
      </c>
      <c r="B775" t="inlineStr">
        <is>
          <t>pontine neuron P1</t>
        </is>
      </c>
      <c r="C775" t="inlineStr">
        <is>
          <t>pontine fiber system 1; PFS1</t>
        </is>
      </c>
      <c r="D775" t="inlineStr">
        <is>
          <t>Pontine neuron of the fan-shaped body that connects segments on either side of the midline.</t>
        </is>
      </c>
      <c r="E775" t="inlineStr">
        <is>
          <t>Hanesch et al., 1989, Cell Tissue Res. 257(2): 343--366 (flybase.org/reports/FBrf0049409); Young and Armstrong, 2010, J. Comp. Neurol. 518(9): 1500--1524 (flybase.org/reports/FBrf0210154)</t>
        </is>
      </c>
      <c r="F775" t="inlineStr"/>
      <c r="G775" t="inlineStr"/>
      <c r="H775" t="inlineStr"/>
    </row>
    <row r="776">
      <c r="A776">
        <f>HYPERLINK("https://www.ebi.ac.uk/ols/ontologies/fbbt/terms?iri=http://purl.obolibrary.org/obo/FBbt_00111372","FBbt:00111372")</f>
        <v/>
      </c>
      <c r="B776" t="inlineStr">
        <is>
          <t>PB-EB-NO 5 neuron</t>
        </is>
      </c>
      <c r="C776" t="inlineStr">
        <is>
          <t>PBL5&gt;EBR1P;L1P-NoR1; PBR5&gt;EBR1P;L1P-NoL1</t>
        </is>
      </c>
      <c r="D776" t="inlineStr">
        <is>
          <t>A pb-eb-no neuron of the adult central complex with dendritic arbors in protocerebral bridge glomerulus 6 and axon terminals in the posterior ring of both ellipsoid body slices 1, and the contralateral nodulus subunit I.</t>
        </is>
      </c>
      <c r="E776" t="inlineStr">
        <is>
          <t>Lin et al., 2013, Cell Rep. 3(5): 1739--1753 (flybase.org/reports/FBrf0221742)</t>
        </is>
      </c>
      <c r="F776" t="inlineStr"/>
      <c r="G776" t="inlineStr"/>
      <c r="H776" t="inlineStr"/>
    </row>
    <row r="777">
      <c r="A777">
        <f>HYPERLINK("https://www.ebi.ac.uk/ols/ontologies/fbbt/terms?iri=http://purl.obolibrary.org/obo/FBbt_00007524","FBbt:00007524")</f>
        <v/>
      </c>
      <c r="B777" t="inlineStr">
        <is>
          <t>pontine neuron P2</t>
        </is>
      </c>
      <c r="C777" t="inlineStr">
        <is>
          <t>pontine fiber system 2; PFS2</t>
        </is>
      </c>
      <c r="D777" t="inlineStr">
        <is>
          <t>Pontine neuron of the fan-shaped body that connects adjacent segments within one layer.</t>
        </is>
      </c>
      <c r="E777" t="inlineStr">
        <is>
          <t>Young and Armstrong, 2010, J. Comp. Neurol. 518(9): 1500--1524 (flybase.org/reports/FBrf0210154)</t>
        </is>
      </c>
      <c r="F777" t="inlineStr"/>
      <c r="G777" t="inlineStr"/>
      <c r="H777" t="inlineStr"/>
    </row>
    <row r="778">
      <c r="A778">
        <f>HYPERLINK("https://www.ebi.ac.uk/ols/ontologies/fbbt/terms?iri=http://purl.obolibrary.org/obo/FBbt_00007525","FBbt:00007525")</f>
        <v/>
      </c>
      <c r="B778" t="inlineStr">
        <is>
          <t>pontine neuron P3</t>
        </is>
      </c>
      <c r="C778" t="inlineStr">
        <is>
          <t>None</t>
        </is>
      </c>
      <c r="D778" t="inlineStr">
        <is>
          <t>Pontine neuron of the fan-shaped body that connects adjacent layers within one segment.</t>
        </is>
      </c>
      <c r="E778" t="inlineStr">
        <is>
          <t>Young and Armstrong, 2010, J. Comp. Neurol. 518(9): 1500--1524 (flybase.org/reports/FBrf0210154)</t>
        </is>
      </c>
      <c r="F778" t="inlineStr"/>
      <c r="G778" t="inlineStr"/>
      <c r="H778" t="inlineStr"/>
    </row>
    <row r="779">
      <c r="A779">
        <f>HYPERLINK("https://www.ebi.ac.uk/ols/ontologies/fbbt/terms?iri=http://purl.obolibrary.org/obo/FBbt_00111374","FBbt:00111374")</f>
        <v/>
      </c>
      <c r="B779" t="inlineStr">
        <is>
          <t>PB-EB-NO 7 neuron</t>
        </is>
      </c>
      <c r="C779" t="inlineStr">
        <is>
          <t>PBL7&gt;EBL4P;L5P-NoR1</t>
        </is>
      </c>
      <c r="D779" t="inlineStr">
        <is>
          <t>A pb-eb-no neuron of the adult central complex with dendritic arbors in protocerebral bridge glomerulus 8 and axon terminals in the posterior ring of ipsilateral ellipsoid body slices 4 and 5, and the contralateral nodulus subunit I.</t>
        </is>
      </c>
      <c r="E779" t="inlineStr">
        <is>
          <t>Lin et al., 2013, Cell Rep. 3(5): 1739--1753 (flybase.org/reports/FBrf0221742)</t>
        </is>
      </c>
      <c r="F779" t="inlineStr"/>
      <c r="G779" t="inlineStr"/>
      <c r="H779" t="inlineStr"/>
    </row>
    <row r="780">
      <c r="A780">
        <f>HYPERLINK("https://www.ebi.ac.uk/ols/ontologies/fbbt/terms?iri=http://purl.obolibrary.org/obo/FBbt_00110929","FBbt:00110929")</f>
        <v/>
      </c>
      <c r="B780" t="inlineStr">
        <is>
          <t>alpha/beta core Kenyon cell</t>
        </is>
      </c>
      <c r="C780" t="inlineStr">
        <is>
          <t>mushroom body alpha/beta core neuron; Kenyon cells (alpha/beta lobe core); alpha/beta core KC; alpha/beta core neuron; alpha/betac; alpha/beta c KC; alpha/beta c Kenyon cell</t>
        </is>
      </c>
      <c r="D780" t="inlineStr">
        <is>
          <t>Alpha/beta mushroom body neuron that has dendrites in the main calyx, with their axons occupying the core layer of the peduncle, alpha and beta lobes. They can be morphologically subdivided into inner and outer core cells, although the border between these regions is not well defined. There are around 400 neurons in each hemisphere.</t>
        </is>
      </c>
      <c r="E780" t="inlineStr">
        <is>
          <t>Strausfeld et al., 2003, Microsc. Res. Tech. 62(2): 151--169 (flybase.org/reports/FBrf0162233); Tanaka et al., 2004, Curr. Biol. 14(6): 449--457 (flybase.org/reports/FBrf0174482); Aso et al., 2014, eLife 3: e04577 (flybase.org/reports/FBrf0227179)</t>
        </is>
      </c>
      <c r="F780" t="inlineStr"/>
      <c r="G780" t="inlineStr"/>
      <c r="H780" t="inlineStr"/>
    </row>
    <row r="781">
      <c r="A781">
        <f>HYPERLINK("https://www.ebi.ac.uk/ols/ontologies/fbbt/terms?iri=http://purl.obolibrary.org/obo/FBbt_00111371","FBbt:00111371")</f>
        <v/>
      </c>
      <c r="B781" t="inlineStr">
        <is>
          <t>PB-EB-NO 3 neuron</t>
        </is>
      </c>
      <c r="C781" t="inlineStr">
        <is>
          <t>PBR3&gt;EBL4P;L5P-NoL1</t>
        </is>
      </c>
      <c r="D781" t="inlineStr">
        <is>
          <t>A pb-eb-no neuron of the adult central complex with dendritic arbors in protocerebral bridge glomerulus 4 and axon terminals in the posterior ring of contralateral ellipsoid body slices 4 and 5, and the contralateral nodulus subunit I.</t>
        </is>
      </c>
      <c r="E781" t="inlineStr">
        <is>
          <t>Lin et al., 2013, Cell Rep. 3(5): 1739--1753 (flybase.org/reports/FBrf0221742)</t>
        </is>
      </c>
      <c r="F781" t="inlineStr"/>
      <c r="G781" t="inlineStr"/>
      <c r="H781" t="inlineStr"/>
    </row>
    <row r="782">
      <c r="A782">
        <f>HYPERLINK("https://www.ebi.ac.uk/ols/ontologies/fbbt/terms?iri=http://purl.obolibrary.org/obo/FBbt_00111370","FBbt:00111370")</f>
        <v/>
      </c>
      <c r="B782" t="inlineStr">
        <is>
          <t>PB-EB-NO 2 neuron</t>
        </is>
      </c>
      <c r="C782" t="inlineStr">
        <is>
          <t>PBL2&gt;EBR6P;R7P-NoR1</t>
        </is>
      </c>
      <c r="D782" t="inlineStr">
        <is>
          <t>A pb-eb-no neuron of the adult central complex with dendritic arbors in protocerebral bridge glomerulus 3 and axon terminals in the posterior ring of contralateral ellipsoid body slices 6 and 7, and the contralateral nodulus subunit I.</t>
        </is>
      </c>
      <c r="E782" t="inlineStr">
        <is>
          <t>Lin et al., 2013, Cell Rep. 3(5): 1739--1753 (flybase.org/reports/FBrf0221742)</t>
        </is>
      </c>
      <c r="F782" t="inlineStr"/>
      <c r="G782" t="inlineStr"/>
      <c r="H782" t="inlineStr"/>
    </row>
    <row r="783">
      <c r="A783">
        <f>HYPERLINK("https://www.ebi.ac.uk/ols/ontologies/fbbt/terms?iri=http://purl.obolibrary.org/obo/FBbt_00007520","FBbt:00007520")</f>
        <v/>
      </c>
      <c r="B783" t="inlineStr">
        <is>
          <t>vertical system neuron 4</t>
        </is>
      </c>
      <c r="C783" t="inlineStr">
        <is>
          <t>VS4 neuron</t>
        </is>
      </c>
      <c r="D783" t="inlineStr">
        <is>
          <t>Vertical system neuron with both dorsally and ventrally sweeping major branches and whose dorsal dendritic tree extends anteriorly and posteriorly. Unlike VS3, its dorsal dendrites curve so that they extend directly dorsally or even medially and have only a few simple anterior projections (Scott et al., 2002). Its receptive field of vision is in between the receptive fields of VS3 (more frontal) and VS5 (more lateral). It is electrically coupled to VS3 and VS5 (Joesch et al., 2008).</t>
        </is>
      </c>
      <c r="E783" t="inlineStr">
        <is>
          <t>Scott et al., 2002, J. Comp. Neurol. 454(4): 470--481 (flybase.org/reports/FBrf0155898); Joesch et al., 2008, Curr. Biol. 18(5): 368--374 (flybase.org/reports/FBrf0204334)</t>
        </is>
      </c>
      <c r="F783" t="inlineStr"/>
      <c r="G783" t="inlineStr"/>
      <c r="H783" t="inlineStr"/>
    </row>
    <row r="784">
      <c r="A784">
        <f>HYPERLINK("https://www.ebi.ac.uk/ols/ontologies/fbbt/terms?iri=http://purl.obolibrary.org/obo/FBbt_00007521","FBbt:00007521")</f>
        <v/>
      </c>
      <c r="B784" t="inlineStr">
        <is>
          <t>vertical system neuron 5</t>
        </is>
      </c>
      <c r="C784" t="inlineStr">
        <is>
          <t>VS5 neuron</t>
        </is>
      </c>
      <c r="D784" t="inlineStr">
        <is>
          <t>Vertical system neuron whose dendritic branching pattern is simple and predominantly limited to the dorsal lobula plate. This neuron projects at least two major dendritic branches dorsally, one from the initial dorsal extension, and one from a major branch that initially grows into the central lobula before contributing a dorsally extending branch. Its dendritic tree extends much more anteriorly than that of other ventral system neurons (Scott et al., 2002). Its receptive field of vision is in between the receptive fields of VS4 (more frontal) and VS6 (more lateral). It is electrically coupled to VS4 and VS6 (Joesch et al., 2008).</t>
        </is>
      </c>
      <c r="E784" t="inlineStr">
        <is>
          <t>Scott et al., 2002, J. Comp. Neurol. 454(4): 470--481 (flybase.org/reports/FBrf0155898); Joesch et al., 2008, Curr. Biol. 18(5): 368--374 (flybase.org/reports/FBrf0204334)</t>
        </is>
      </c>
      <c r="F784" t="inlineStr"/>
      <c r="G784" t="inlineStr"/>
      <c r="H784" t="inlineStr"/>
    </row>
    <row r="785">
      <c r="A785">
        <f>HYPERLINK("https://www.ebi.ac.uk/ols/ontologies/fbbt/terms?iri=http://purl.obolibrary.org/obo/FBbt_00007522","FBbt:00007522")</f>
        <v/>
      </c>
      <c r="B785" t="inlineStr">
        <is>
          <t>vertical system neuron 6</t>
        </is>
      </c>
      <c r="C785" t="inlineStr">
        <is>
          <t>VS6 neuron</t>
        </is>
      </c>
      <c r="D785" t="inlineStr">
        <is>
          <t>Vertical system neuron whose dendritic branching pattern is simple and predominantly limited to the dorsal lobula plate. This neuron has a single major dorsal branch that is an extension of the original dorsal arborization. Its dendritic tree extends anteriorly, but not as far as that of vertical system neuron 5.</t>
        </is>
      </c>
      <c r="E785" t="inlineStr">
        <is>
          <t>Scott et al., 2002, J. Comp. Neurol. 454(4): 470--481 (flybase.org/reports/FBrf0155898)</t>
        </is>
      </c>
      <c r="F785" t="inlineStr"/>
      <c r="G785" t="inlineStr"/>
      <c r="H785" t="inlineStr"/>
    </row>
    <row r="786">
      <c r="A786">
        <f>HYPERLINK("https://www.ebi.ac.uk/ols/ontologies/fbbt/terms?iri=http://purl.obolibrary.org/obo/FBbt_00003652","FBbt:00003652")</f>
        <v/>
      </c>
      <c r="B786" t="inlineStr">
        <is>
          <t>ring neuron R3</t>
        </is>
      </c>
      <c r="C786" t="inlineStr">
        <is>
          <t>ebR3; R3 neuron</t>
        </is>
      </c>
      <c r="D786" t="inlineStr">
        <is>
          <t>Ring neuron R that arborizes in the anterior layer of the inner and outer rings of the ellipsoid body. Arborizing branches originate in the ellipsoid body canal and extend outwards.</t>
        </is>
      </c>
      <c r="E786" t="inlineStr">
        <is>
          <t>Hanesch et al., 1989, Cell Tissue Res. 257(2): 343--366 (flybase.org/reports/FBrf0049409); Renn et al., 1999, J. Neurobiol. 41(2): 189--207 (flybase.org/reports/FBrf0111476)</t>
        </is>
      </c>
      <c r="F786" t="inlineStr"/>
      <c r="G786" t="inlineStr"/>
      <c r="H786" t="inlineStr"/>
    </row>
    <row r="787">
      <c r="A787">
        <f>HYPERLINK("https://www.ebi.ac.uk/ols/ontologies/fbbt/terms?iri=http://purl.obolibrary.org/obo/FBbt_00003653","FBbt:00003653")</f>
        <v/>
      </c>
      <c r="B787" t="inlineStr">
        <is>
          <t>ring neuron R4</t>
        </is>
      </c>
      <c r="C787" t="inlineStr">
        <is>
          <t>R4 neuron; ebR4</t>
        </is>
      </c>
      <c r="D787" t="inlineStr">
        <is>
          <t>Ring neuron R that arborizes only in the outer ring of the ellipsoid body. Arborizing branches originate in the periphery of the ellipsoid body canal and extend inwards.</t>
        </is>
      </c>
      <c r="E787" t="inlineStr">
        <is>
          <t>Hanesch et al., 1989, Cell Tissue Res. 257(2): 343--366 (flybase.org/reports/FBrf0049409); Renn et al., 1999, J. Neurobiol. 41(2): 189--207 (flybase.org/reports/FBrf0111476)</t>
        </is>
      </c>
      <c r="F787" t="inlineStr"/>
      <c r="G787" t="inlineStr"/>
      <c r="H787" t="inlineStr"/>
    </row>
    <row r="788">
      <c r="A788">
        <f>HYPERLINK("https://www.ebi.ac.uk/ols/ontologies/fbbt/terms?iri=http://purl.obolibrary.org/obo/FBbt_00111146","FBbt:00111146")</f>
        <v/>
      </c>
      <c r="B788" t="inlineStr">
        <is>
          <t>adult fruitless aSG7 neuron</t>
        </is>
      </c>
      <c r="C788" t="inlineStr">
        <is>
          <t>None</t>
        </is>
      </c>
      <c r="D788" t="inlineStr">
        <is>
          <t>Neuron of the adult brain that expresses fruitless, whose cell body is located on the gnathal ganglion. A neurite branches to arborize both hemispheres of the gnathal ganglion.</t>
        </is>
      </c>
      <c r="E788" t="inlineStr">
        <is>
          <t>von Philipsborn et al., 2011, Neuron 69(3): 509--522 (flybase.org/reports/FBrf0212984)</t>
        </is>
      </c>
      <c r="F788" t="inlineStr"/>
      <c r="G788" t="inlineStr"/>
      <c r="H788" t="inlineStr"/>
    </row>
    <row r="789">
      <c r="A789">
        <f>HYPERLINK("https://www.ebi.ac.uk/ols/ontologies/fbbt/terms?iri=http://purl.obolibrary.org/obo/FBbt_00048127","FBbt:00048127")</f>
        <v/>
      </c>
      <c r="B789" t="inlineStr">
        <is>
          <t>ventral centrifugal horizontal neuron</t>
        </is>
      </c>
      <c r="C789" t="inlineStr">
        <is>
          <t>vCH neuron</t>
        </is>
      </c>
      <c r="D789" t="inlineStr">
        <is>
          <t>Centrifugal horizontal neuron that arborizes in the ventral part of lobula plate layer 1.</t>
        </is>
      </c>
      <c r="E789" t="inlineStr">
        <is>
          <t>Boergens et al., 2018, PLoS ONE 13(11): e0207828 (flybase.org/reports/FBrf0240805)</t>
        </is>
      </c>
      <c r="F789" t="inlineStr"/>
      <c r="G789" t="inlineStr"/>
      <c r="H789" t="inlineStr"/>
    </row>
    <row r="790">
      <c r="A790">
        <f>HYPERLINK("https://www.ebi.ac.uk/ols/ontologies/fbbt/terms?iri=http://purl.obolibrary.org/obo/FBbt_00048126","FBbt:00048126")</f>
        <v/>
      </c>
      <c r="B790" t="inlineStr">
        <is>
          <t>dorsal centrifugal horizontal neuron</t>
        </is>
      </c>
      <c r="C790" t="inlineStr">
        <is>
          <t>dCH neuron</t>
        </is>
      </c>
      <c r="D790" t="inlineStr">
        <is>
          <t>Centrifugal horizontal neuron that arborizes in the dorsal part of lobula plate layer 1.</t>
        </is>
      </c>
      <c r="E790" t="inlineStr">
        <is>
          <t>Boergens et al., 2018, PLoS ONE 13(11): e0207828 (flybase.org/reports/FBrf0240805)</t>
        </is>
      </c>
      <c r="F790" t="inlineStr"/>
      <c r="G790" t="inlineStr"/>
      <c r="H790" t="inlineStr"/>
    </row>
    <row r="791">
      <c r="A791">
        <f>HYPERLINK("https://www.ebi.ac.uk/ols/ontologies/fbbt/terms?iri=http://purl.obolibrary.org/obo/FBbt_00111147","FBbt:00111147")</f>
        <v/>
      </c>
      <c r="B791" t="inlineStr">
        <is>
          <t>adult fruitless aSG8 neuron</t>
        </is>
      </c>
      <c r="C791" t="inlineStr">
        <is>
          <t>None</t>
        </is>
      </c>
      <c r="D791" t="inlineStr">
        <is>
          <t>Neuron of the adult brain that expresses fruitless, whose cell body is located on the gnathal ganglion. A neurite arborizes the ipsilateral gnathal ganglion.</t>
        </is>
      </c>
      <c r="E791" t="inlineStr">
        <is>
          <t>von Philipsborn et al., 2011, Neuron 69(3): 509--522 (flybase.org/reports/FBrf0212984)</t>
        </is>
      </c>
      <c r="F791" t="inlineStr"/>
      <c r="G791" t="inlineStr"/>
      <c r="H791" t="inlineStr"/>
    </row>
    <row r="792">
      <c r="A792">
        <f>HYPERLINK("https://www.ebi.ac.uk/ols/ontologies/fbbt/terms?iri=http://purl.obolibrary.org/obo/FBbt_00005127","FBbt:00005127")</f>
        <v/>
      </c>
      <c r="B792" t="inlineStr">
        <is>
          <t>amacrine neuron</t>
        </is>
      </c>
      <c r="C792" t="inlineStr">
        <is>
          <t>amacrine cell</t>
        </is>
      </c>
      <c r="D792" t="inlineStr">
        <is>
          <t>None</t>
        </is>
      </c>
      <c r="E792" t="inlineStr">
        <is>
          <t>None</t>
        </is>
      </c>
      <c r="F792" t="inlineStr"/>
      <c r="G792" t="inlineStr"/>
      <c r="H792" t="inlineStr"/>
    </row>
    <row r="793">
      <c r="A793">
        <f>HYPERLINK("https://www.ebi.ac.uk/ols/ontologies/fbbt/terms?iri=http://purl.obolibrary.org/obo/FBbt_00110312","FBbt:00110312")</f>
        <v/>
      </c>
      <c r="B793" t="inlineStr">
        <is>
          <t>histaminergic HP2 neuron</t>
        </is>
      </c>
      <c r="C793" t="inlineStr">
        <is>
          <t>HAIR neuron; HP2 neuron</t>
        </is>
      </c>
      <c r="D793" t="inlineStr">
        <is>
          <t>Histaminergic neuron whose cell body is located in one of two (bilateral) clusters in the adult lateral protocerebrum. It is the most lateral of the histaminergic neuron clusters. There are 3 neurons in each cluster.</t>
        </is>
      </c>
      <c r="E793" t="inlineStr">
        <is>
          <t>Nassel and Elekes, 1992, Cell Tissue Res. 267(1): 147--167 (flybase.org/reports/FBrf0055596)</t>
        </is>
      </c>
      <c r="F793" t="inlineStr"/>
      <c r="G793" t="inlineStr"/>
      <c r="H793" t="inlineStr"/>
    </row>
    <row r="794">
      <c r="A794">
        <f>HYPERLINK("https://www.ebi.ac.uk/ols/ontologies/fbbt/terms?iri=http://purl.obolibrary.org/obo/FBbt_00110311","FBbt:00110311")</f>
        <v/>
      </c>
      <c r="B794" t="inlineStr">
        <is>
          <t>histaminergic HP1 neuron</t>
        </is>
      </c>
      <c r="C794" t="inlineStr">
        <is>
          <t>HAIR neuron; HP1 neuron</t>
        </is>
      </c>
      <c r="D794" t="inlineStr">
        <is>
          <t>Histaminergic neuron whose cell body is located in one of two (bilateral) clusters in the adult dorsal medial protocerebrum. It is the most dorsal of the histaminergic neuron clusters. There are 3 neurons in each cluster.</t>
        </is>
      </c>
      <c r="E794" t="inlineStr">
        <is>
          <t>Nassel and Elekes, 1992, Cell Tissue Res. 267(1): 147--167 (flybase.org/reports/FBrf0055596)</t>
        </is>
      </c>
      <c r="F794" t="inlineStr"/>
      <c r="G794" t="inlineStr"/>
      <c r="H794" t="inlineStr"/>
    </row>
    <row r="795">
      <c r="A795">
        <f>HYPERLINK("https://www.ebi.ac.uk/ols/ontologies/fbbt/terms?iri=http://purl.obolibrary.org/obo/FBbt_00047714","FBbt:00047714")</f>
        <v/>
      </c>
      <c r="B795" t="inlineStr">
        <is>
          <t>adult antennal lobe projection neuron DA4m</t>
        </is>
      </c>
      <c r="C795" t="inlineStr">
        <is>
          <t>DA4m vPN</t>
        </is>
      </c>
      <c r="D795" t="inlineStr">
        <is>
          <t>Unilateral antennal lobe (AL) projection neuron whose dendrites innervate only glomerulus DA4m. It has its soma in the ventral part of the cell body rind around the AL. It bifurcates in the AL hub, with one branch forming glomerular arborizations in DA4m, with some additional neurites around the glomerulus, and one branch joining the medial antennal lobe tract. Collateral branches innervate the central area of the mushroom body calyx and the ventral area of the lateral horn. One of the lateral horn branches turns ventrally and projects via the lateral section of the posterior lateral fascicle to reach the anterior posterior lateral protocerebrum.</t>
        </is>
      </c>
      <c r="E795" t="inlineStr">
        <is>
          <t>Tanaka et al., 2012, J. Comp. Neurol. 520(18): 4067--4130 (flybase.org/reports/FBrf0219809)</t>
        </is>
      </c>
      <c r="F795" t="inlineStr"/>
      <c r="G795" t="inlineStr"/>
      <c r="H795" t="inlineStr"/>
    </row>
    <row r="796">
      <c r="A796">
        <f>HYPERLINK("https://www.ebi.ac.uk/ols/ontologies/fbbt/terms?iri=http://purl.obolibrary.org/obo/FBbt_00110314","FBbt:00110314")</f>
        <v/>
      </c>
      <c r="B796" t="inlineStr">
        <is>
          <t>histaminergic HP4 neuron</t>
        </is>
      </c>
      <c r="C796" t="inlineStr">
        <is>
          <t>HAIR neuron; HP4 neuron</t>
        </is>
      </c>
      <c r="D796" t="inlineStr">
        <is>
          <t>Histaminergic neuron whose cell body is located in the dorsal protocerebrum, ventral and lateral to the histaminergic HP1 cluster. There is one neuron in each hemisphere.</t>
        </is>
      </c>
      <c r="E796" t="inlineStr">
        <is>
          <t>Nassel and Elekes, 1992, Cell Tissue Res. 267(1): 147--167 (flybase.org/reports/FBrf0055596)</t>
        </is>
      </c>
      <c r="F796" t="inlineStr"/>
      <c r="G796" t="inlineStr"/>
      <c r="H796" t="inlineStr"/>
    </row>
    <row r="797">
      <c r="A797">
        <f>HYPERLINK("https://www.ebi.ac.uk/ols/ontologies/fbbt/terms?iri=http://purl.obolibrary.org/obo/FBbt_00110313","FBbt:00110313")</f>
        <v/>
      </c>
      <c r="B797" t="inlineStr">
        <is>
          <t>histaminergic HP3 neuron</t>
        </is>
      </c>
      <c r="C797" t="inlineStr">
        <is>
          <t>HAIR neuron; HP3 neuron</t>
        </is>
      </c>
      <c r="D797" t="inlineStr">
        <is>
          <t>Histaminergic neuron whose cell body is located in one of two (bilateral) clusters in the adult ventral protocerebrum which innervates the lobula in both hemispheres. It is the most ventral of the histaminergic neuron clusters in the protocerebrum. There are 2 neurons in each cluster.</t>
        </is>
      </c>
      <c r="E797" t="inlineStr">
        <is>
          <t>Nassel and Elekes, 1992, Cell Tissue Res. 267(1): 147--167 (flybase.org/reports/FBrf0055596)</t>
        </is>
      </c>
      <c r="F797" t="inlineStr"/>
      <c r="G797" t="inlineStr"/>
      <c r="H797" t="inlineStr"/>
    </row>
    <row r="798">
      <c r="A798">
        <f>HYPERLINK("https://www.ebi.ac.uk/ols/ontologies/fbbt/terms?iri=http://purl.obolibrary.org/obo/FBbt_00007578","FBbt:00007578")</f>
        <v/>
      </c>
      <c r="B798" t="inlineStr">
        <is>
          <t>intrinsic columnar neuron</t>
        </is>
      </c>
      <c r="C798" t="inlineStr">
        <is>
          <t>None</t>
        </is>
      </c>
      <c r="D798" t="inlineStr">
        <is>
          <t>A columnar neuron whose arborizations are restricted to the optic lobe.</t>
        </is>
      </c>
      <c r="E798" t="inlineStr">
        <is>
          <t>Fischbach and Dittrich, 1989, Cell Tissue Res. 258(3): 441--475 (flybase.org/reports/FBrf0049410)</t>
        </is>
      </c>
      <c r="F798" t="inlineStr"/>
      <c r="G798" t="inlineStr"/>
      <c r="H798" t="inlineStr"/>
    </row>
    <row r="799">
      <c r="A799">
        <f>HYPERLINK("https://www.ebi.ac.uk/ols/ontologies/fbbt/terms?iri=http://purl.obolibrary.org/obo/FBbt_00007577","FBbt:00007577")</f>
        <v/>
      </c>
      <c r="B799" t="inlineStr">
        <is>
          <t>optic lobe intrinsic neuron</t>
        </is>
      </c>
      <c r="C799" t="inlineStr">
        <is>
          <t>None</t>
        </is>
      </c>
      <c r="D799" t="inlineStr">
        <is>
          <t>Any intrinsic neuron (FBbt:00003664) that is part of some adult optic lobe (FBbt:00003701) and that has synaptic terminals in some adult optic lobe (FBbt:00003701).</t>
        </is>
      </c>
      <c r="E799" t="inlineStr"/>
      <c r="F799" t="inlineStr"/>
      <c r="G799" t="inlineStr"/>
      <c r="H799" t="inlineStr"/>
    </row>
    <row r="800">
      <c r="A800">
        <f>HYPERLINK("https://www.ebi.ac.uk/ols/ontologies/fbbt/terms?iri=http://purl.obolibrary.org/obo/FBbt_00007559","FBbt:00007559")</f>
        <v/>
      </c>
      <c r="B800" t="inlineStr">
        <is>
          <t>vertical fiber system neuron pb8</t>
        </is>
      </c>
      <c r="C800" t="inlineStr">
        <is>
          <t>None</t>
        </is>
      </c>
      <c r="D800" t="inlineStr">
        <is>
          <t>Vertical fiber system neuron that innervates protocerebral bridge glomerulus 9, the ipsilateral fan-shaped body segment W and the contralateral nodulus.</t>
        </is>
      </c>
      <c r="E800" t="inlineStr">
        <is>
          <t>Hanesch et al., 1989, Cell Tissue Res. 257(2): 343--366 (flybase.org/reports/FBrf0049409); Wolff et al., 2015, J. Comp. Neurol. 523(7): 997--1037 (flybase.org/reports/FBrf0227801)</t>
        </is>
      </c>
      <c r="F800" t="inlineStr"/>
      <c r="G800" t="inlineStr"/>
      <c r="H800" t="inlineStr"/>
    </row>
    <row r="801">
      <c r="A801">
        <f>HYPERLINK("https://www.ebi.ac.uk/ols/ontologies/fbbt/terms?iri=http://purl.obolibrary.org/obo/FBbt_00007428","FBbt:00007428")</f>
        <v/>
      </c>
      <c r="B801" t="inlineStr">
        <is>
          <t>s-LNv neuron</t>
        </is>
      </c>
      <c r="C801" t="inlineStr">
        <is>
          <t>s-vLN neuron; small LNv; s-LNv; sLNv</t>
        </is>
      </c>
      <c r="D801" t="inlineStr">
        <is>
          <t>Neuron of the period-expressing LNv cluster of the adult brain, with a small cell body and generally located more ventrally than the l-LNv neurons (Helfrich-Forster, 1998). There are 5 cells present in each cluster, all except one of which express Pdf (FBgn0023178).</t>
        </is>
      </c>
      <c r="E801" t="inlineStr">
        <is>
          <t>Helfrich-Forster et al., 2007, J. Comp. Neurol. 500(1): 47--70 (flybase.org/reports/FBrf0193849)</t>
        </is>
      </c>
      <c r="F801" t="inlineStr"/>
      <c r="G801" t="inlineStr"/>
      <c r="H801" t="inlineStr"/>
    </row>
    <row r="802">
      <c r="A802">
        <f>HYPERLINK("https://www.ebi.ac.uk/ols/ontologies/fbbt/terms?iri=http://purl.obolibrary.org/obo/FBbt_00111762","FBbt:00111762")</f>
        <v/>
      </c>
      <c r="B802" t="inlineStr">
        <is>
          <t>lobula complex columnar neuron LPLC1</t>
        </is>
      </c>
      <c r="C802" t="inlineStr">
        <is>
          <t>lobula plate and lobula columnar neuron 1</t>
        </is>
      </c>
      <c r="D802" t="inlineStr">
        <is>
          <t>An extrinsic columnar neuron whose cell body lies in the dorsal area of the lateral cell body rind. It has its main dendritic arbors in lobula layers 2 to 4, and 5B, with lower density in layer 3. Presynaptic sites are observed in the boundary of lobula layers 3/4. Its processes extend the full length of the lobula plate, being sparser in layer 1. It projects to a large optic glomerulus of the PVLP, posterior to LPLC2 and dorsal to LC4, and located at the PVLP and PLP border. There are around 62 cells of this type.</t>
        </is>
      </c>
      <c r="E802" t="inlineStr">
        <is>
          <t>Panser et al., 2016, Curr. Biol. 26(15): 1943--1954 (flybase.org/reports/FBrf0233032); Wu et al., 2016, eLife 5: e21022 (flybase.org/reports/FBrf0234700)</t>
        </is>
      </c>
      <c r="F802" t="inlineStr"/>
      <c r="G802" t="inlineStr"/>
      <c r="H802" t="inlineStr"/>
    </row>
    <row r="803">
      <c r="A803">
        <f>HYPERLINK("https://www.ebi.ac.uk/ols/ontologies/fbbt/terms?iri=http://purl.obolibrary.org/obo/FBbt_00110933","FBbt:00110933")</f>
        <v/>
      </c>
      <c r="B803" t="inlineStr">
        <is>
          <t>lobula columnar neuron LC10A</t>
        </is>
      </c>
      <c r="C803" t="inlineStr">
        <is>
          <t>Lcn10A</t>
        </is>
      </c>
      <c r="D803" t="inlineStr">
        <is>
          <t>Lobula columnar neuron LC10 subtype that enters the medial zone of the anterior optic tubercle (AOTU). There are 2 subtypes, which differ in their arborization in the lobula.</t>
        </is>
      </c>
      <c r="E803" t="inlineStr">
        <is>
          <t>Otsuna and Ito, 2006, J. Comp. Neurol. 497(6): 928--958 (flybase.org/reports/FBrf0193607); Wu et al., 2016, eLife 5: e21022 (flybase.org/reports/FBrf0234700)</t>
        </is>
      </c>
      <c r="F803" t="inlineStr"/>
      <c r="G803" t="inlineStr"/>
      <c r="H803" t="inlineStr"/>
    </row>
    <row r="804">
      <c r="A804">
        <f>HYPERLINK("https://www.ebi.ac.uk/ols/ontologies/fbbt/terms?iri=http://purl.obolibrary.org/obo/FBbt_00111390","FBbt:00111390")</f>
        <v/>
      </c>
      <c r="B804" t="inlineStr">
        <is>
          <t>PB-FB-NO subunit 2 dorsal domain neuron</t>
        </is>
      </c>
      <c r="C804" t="inlineStr">
        <is>
          <t>PB1-glomerulus&gt;FBd-NoR2; PBG2-9.s-FBl3.b-NO2D.b neuron; PB1-glomerulus&gt;FBd-NoL2</t>
        </is>
      </c>
      <c r="D804" t="inlineStr">
        <is>
          <t>Small field neuron of the central complex with dendritic arbors in a single glomerulus of the protocerebral bridge (except glomerulus 1) and axon terminals in fan-shaped body layer 3 and the contralateral dorsal domain of the nodulus subunit II.</t>
        </is>
      </c>
      <c r="E804" t="inlineStr">
        <is>
          <t>Lin et al., 2013, Cell Rep. 3(5): 1739--1753 (flybase.org/reports/FBrf0221742); Wolff et al., 2015, J. Comp. Neurol. 523(7): 997--1037 (flybase.org/reports/FBrf0227801)</t>
        </is>
      </c>
      <c r="F804" t="inlineStr"/>
      <c r="G804" t="inlineStr"/>
      <c r="H804" t="inlineStr"/>
    </row>
    <row r="805">
      <c r="A805">
        <f>HYPERLINK("https://www.ebi.ac.uk/ols/ontologies/fbbt/terms?iri=http://purl.obolibrary.org/obo/FBbt_00110934","FBbt:00110934")</f>
        <v/>
      </c>
      <c r="B805" t="inlineStr">
        <is>
          <t>lobula columnar neuron LC10B</t>
        </is>
      </c>
      <c r="C805" t="inlineStr">
        <is>
          <t>None</t>
        </is>
      </c>
      <c r="D805" t="inlineStr">
        <is>
          <t>Lobula columnar neuron LC10 subtype whose axon fans out near the anterior optic tubercle (AOTU). It enters it in the medial region, along most of its dorsal/ventral axis.</t>
        </is>
      </c>
      <c r="E805" t="inlineStr">
        <is>
          <t>Otsuna and Ito, 2006, J. Comp. Neurol. 497(6): 928--958 (flybase.org/reports/FBrf0193607); Wu et al., 2016, eLife 5: e21022 (flybase.org/reports/FBrf0234700)</t>
        </is>
      </c>
      <c r="F805" t="inlineStr"/>
      <c r="G805" t="inlineStr"/>
      <c r="H805" t="inlineStr"/>
    </row>
    <row r="806">
      <c r="A806">
        <f>HYPERLINK("https://www.ebi.ac.uk/ols/ontologies/fbbt/terms?iri=http://purl.obolibrary.org/obo/FBbt_00111059","FBbt:00111059")</f>
        <v/>
      </c>
      <c r="B806" t="inlineStr">
        <is>
          <t>protocerebral bridge 18 glomeruli type 2 neuron of glomerulus 6</t>
        </is>
      </c>
      <c r="C806" t="inlineStr">
        <is>
          <t>PBR1-7,L1-8 glomeruli;axon:R2,L5 neuron; PBR5,L2 neuron; PBL5,R2 neuron; PBR1-8,L1-7 glomeruli;axon:R5,L2 neuron; protocerebral bridge 15 glomeruli neuron of glomerulus 5; PBR2,L5 neuron; PBL2,R5 neuron</t>
        </is>
      </c>
      <c r="D806" t="inlineStr">
        <is>
          <t>Subtype of the protocerebral bridge 18 glomeruli type 2 neuron that has axonal terminals in the ipsilateral glomerulus 6 and contralateral glomerulus 3.</t>
        </is>
      </c>
      <c r="E806" t="inlineStr">
        <is>
          <t>Lin et al., 2013, Cell Rep. 3(5): 1739--1753 (flybase.org/reports/FBrf0221742); Wolff et al., 2015, J. Comp. Neurol. 523(7): 997--1037 (flybase.org/reports/FBrf0227801)</t>
        </is>
      </c>
      <c r="F806" t="inlineStr"/>
      <c r="G806" t="inlineStr"/>
      <c r="H806" t="inlineStr"/>
    </row>
    <row r="807">
      <c r="A807">
        <f>HYPERLINK("https://www.ebi.ac.uk/ols/ontologies/fbbt/terms?iri=http://purl.obolibrary.org/obo/FBbt_00111058","FBbt:00111058")</f>
        <v/>
      </c>
      <c r="B807" t="inlineStr">
        <is>
          <t>protocerebral bridge 18 glomeruli type 2 neuron of glomerulus 7</t>
        </is>
      </c>
      <c r="C807" t="inlineStr">
        <is>
          <t>PBR1-7,L1-8 glomeruli;axon:R1,L6 neuron; PBL6,R1 neuron; PBR1-8,L1-7 glomeruli;axon:R6,L1 neuron; PBR6,L1 neuron; protocerebral bridge 15 glomeruli neuron of glomerulus 6; PBL1,R6 neuron; PBR1,L6 neuron</t>
        </is>
      </c>
      <c r="D807" t="inlineStr">
        <is>
          <t>Subtype of the protocerebral bridge 18 glomeruli type 2 neuron that has axonal terminals in the ipsilateral glomerulus 7 and contralateral glomerulus 2.</t>
        </is>
      </c>
      <c r="E807" t="inlineStr">
        <is>
          <t>Lin et al., 2013, Cell Rep. 3(5): 1739--1753 (flybase.org/reports/FBrf0221742); Wolff et al., 2015, J. Comp. Neurol. 523(7): 997--1037 (flybase.org/reports/FBrf0227801)</t>
        </is>
      </c>
      <c r="F807" t="inlineStr"/>
      <c r="G807" t="inlineStr"/>
      <c r="H807" t="inlineStr"/>
    </row>
    <row r="808">
      <c r="A808">
        <f>HYPERLINK("https://www.ebi.ac.uk/ols/ontologies/fbbt/terms?iri=http://purl.obolibrary.org/obo/FBbt_00100519","FBbt:00100519")</f>
        <v/>
      </c>
      <c r="B808" t="inlineStr">
        <is>
          <t>fenestrated glial cell</t>
        </is>
      </c>
      <c r="C808" t="inlineStr">
        <is>
          <t>None</t>
        </is>
      </c>
      <c r="D808" t="inlineStr">
        <is>
          <t>Surface glial cell of the adult optic lobe. The fenestrated glia form a layer overlying the pseudocartridge glial cell layer and contact the basement membrane.</t>
        </is>
      </c>
      <c r="E808" t="inlineStr">
        <is>
          <t>Edwards and Meinertzhagen, 2010, Prog. Neurobiol. 90(4): 471--497 (flybase.org/reports/FBrf0210316)</t>
        </is>
      </c>
      <c r="F808" t="inlineStr"/>
      <c r="G808" t="inlineStr"/>
      <c r="H808" t="inlineStr"/>
    </row>
    <row r="809">
      <c r="A809">
        <f>HYPERLINK("https://www.ebi.ac.uk/ols/ontologies/fbbt/terms?iri=http://purl.obolibrary.org/obo/FBbt_00110059","FBbt:00110059")</f>
        <v/>
      </c>
      <c r="B809" t="inlineStr">
        <is>
          <t>adult Leucokinin LK anterior neuron</t>
        </is>
      </c>
      <c r="C809" t="inlineStr">
        <is>
          <t>adult anterior LK Leucokinin neuron; adult ALK neuron</t>
        </is>
      </c>
      <c r="D809" t="inlineStr">
        <is>
          <t>Adult neuron that expresses Leucokinin (FBgn0028418) and whose cell body is located superficially in the posterior side of the median protocerebrum (de Haro et al., 2010).</t>
        </is>
      </c>
      <c r="E809" t="inlineStr">
        <is>
          <t>Herrero et al., 2003, J. Comp. Neurol. 457(2): 123--132 (flybase.org/reports/FBrf0155902); de Haro et al., 2010, Cell Tissue Res. 339(2): 321--336 (flybase.org/reports/FBrf0209907)</t>
        </is>
      </c>
      <c r="F809" t="inlineStr"/>
      <c r="G809" t="inlineStr"/>
      <c r="H809" t="inlineStr"/>
    </row>
    <row r="810">
      <c r="A810">
        <f>HYPERLINK("https://www.ebi.ac.uk/ols/ontologies/fbbt/terms?iri=http://purl.obolibrary.org/obo/FBbt_00007416","FBbt:00007416")</f>
        <v/>
      </c>
      <c r="B810" t="inlineStr">
        <is>
          <t>GABAergic adult local interneuron type A of the lateral AL neuroblast</t>
        </is>
      </c>
      <c r="C810" t="inlineStr">
        <is>
          <t>GABAergic type A lateral local neuron; GABAergic type A lLN</t>
        </is>
      </c>
      <c r="D810" t="inlineStr">
        <is>
          <t>GABAergic local interneuron of the adult antennal lobe that is derived from the lateral AL neuroblast and that arborizes throughout the antennal lobe without outlining individual glomeruli.</t>
        </is>
      </c>
      <c r="E810" t="inlineStr">
        <is>
          <t>Lai et al., 2008, Development 135(17): 2883--2893 (flybase.org/reports/FBrf0205814)</t>
        </is>
      </c>
      <c r="F810" t="inlineStr"/>
      <c r="G810" t="inlineStr"/>
      <c r="H810" t="inlineStr"/>
    </row>
    <row r="811">
      <c r="A811">
        <f>HYPERLINK("https://www.ebi.ac.uk/ols/ontologies/fbbt/terms?iri=http://purl.obolibrary.org/obo/FBbt_00007542","FBbt:00007542")</f>
        <v/>
      </c>
      <c r="B811" t="inlineStr">
        <is>
          <t>fan-shaped neuron F3</t>
        </is>
      </c>
      <c r="C811" t="inlineStr">
        <is>
          <t>fan shaped neuron F3</t>
        </is>
      </c>
      <c r="D811" t="inlineStr">
        <is>
          <t>Any fan-shaped neuron (FBbt:00003657) that has synaptic terminals in some fan-shaped body layer 3 (FBbt:00007490).</t>
        </is>
      </c>
      <c r="E811" t="inlineStr"/>
      <c r="F811" t="inlineStr"/>
      <c r="G811" t="inlineStr"/>
      <c r="H811" t="inlineStr"/>
    </row>
    <row r="812">
      <c r="A812">
        <f>HYPERLINK("https://www.ebi.ac.uk/ols/ontologies/fbbt/terms?iri=http://purl.obolibrary.org/obo/FBbt_00007543","FBbt:00007543")</f>
        <v/>
      </c>
      <c r="B812" t="inlineStr">
        <is>
          <t>fan-shaped neuron F4</t>
        </is>
      </c>
      <c r="C812" t="inlineStr">
        <is>
          <t>fan shaped neuron F4</t>
        </is>
      </c>
      <c r="D812" t="inlineStr">
        <is>
          <t>Any fan-shaped neuron (FBbt:00003657) that has synaptic terminals in some fan-shaped body layer 4 (FBbt:00007491).</t>
        </is>
      </c>
      <c r="E812" t="inlineStr"/>
      <c r="F812" t="inlineStr"/>
      <c r="G812" t="inlineStr"/>
      <c r="H812" t="inlineStr"/>
    </row>
    <row r="813">
      <c r="A813">
        <f>HYPERLINK("https://www.ebi.ac.uk/ols/ontologies/fbbt/terms?iri=http://purl.obolibrary.org/obo/FBbt_00007544","FBbt:00007544")</f>
        <v/>
      </c>
      <c r="B813" t="inlineStr">
        <is>
          <t>fan-shaped neuron F5</t>
        </is>
      </c>
      <c r="C813" t="inlineStr">
        <is>
          <t>fan shaped neuron F5</t>
        </is>
      </c>
      <c r="D813" t="inlineStr">
        <is>
          <t>Any fan-shaped neuron (FBbt:00003657) that has synaptic terminals in some fan-shaped body layer 5 (FBbt:00007492).</t>
        </is>
      </c>
      <c r="E813" t="inlineStr">
        <is>
          <t>Li et al., 2009, Cell Tissue Res. 336(3): 509--519 (flybase.org/reports/FBrf0207994)</t>
        </is>
      </c>
      <c r="F813" t="inlineStr"/>
      <c r="G813" t="inlineStr"/>
      <c r="H813" t="inlineStr"/>
    </row>
    <row r="814">
      <c r="A814">
        <f>HYPERLINK("https://www.ebi.ac.uk/ols/ontologies/fbbt/terms?iri=http://purl.obolibrary.org/obo/FBbt_00111396","FBbt:00111396")</f>
        <v/>
      </c>
      <c r="B814" t="inlineStr">
        <is>
          <t>PB-FB-NO subunit 3 anterior domain neuron</t>
        </is>
      </c>
      <c r="C814" t="inlineStr">
        <is>
          <t>PBG2-9.s-FBl2.b-NO3A.b neuron</t>
        </is>
      </c>
      <c r="D814" t="inlineStr">
        <is>
          <t>Small field neuron of the central complex with dendritic arbors in a single glomerulus of the protocerebral bridge (except glomerulus 1) and axon terminals in fan-shaped body layer 2 and the contralateral anterior domain of nodulus subunit III.</t>
        </is>
      </c>
      <c r="E814" t="inlineStr">
        <is>
          <t>Lin et al., 2013, Cell Rep. 3(5): 1739--1753 (flybase.org/reports/FBrf0221742); Wolff et al., 2015, J. Comp. Neurol. 523(7): 997--1037 (flybase.org/reports/FBrf0227801)</t>
        </is>
      </c>
      <c r="F814" t="inlineStr"/>
      <c r="G814" t="inlineStr"/>
      <c r="H814" t="inlineStr"/>
    </row>
    <row r="815">
      <c r="A815">
        <f>HYPERLINK("https://www.ebi.ac.uk/ols/ontologies/fbbt/terms?iri=http://purl.obolibrary.org/obo/FBbt_00111764","FBbt:00111764")</f>
        <v/>
      </c>
      <c r="B815" t="inlineStr">
        <is>
          <t>lobula complex columnar neuron LPLC3</t>
        </is>
      </c>
      <c r="C815" t="inlineStr">
        <is>
          <t>lobula plate and lobula columnar neuron 3</t>
        </is>
      </c>
      <c r="D815" t="inlineStr">
        <is>
          <t>An extrinsic columnar neuron whose cell body lies in the dorsal area of the lateral cell body rind. Its processes extend the throughout the ventral half of the lobula and lobula plate. It projects to a small, posterior and ventral optic glomerulus of the PVLP, dorsal to LPC1.</t>
        </is>
      </c>
      <c r="E815" t="inlineStr">
        <is>
          <t>Panser et al., 2016, Curr. Biol. 26(15): 1943--1954 (flybase.org/reports/FBrf0233032)</t>
        </is>
      </c>
      <c r="F815" t="inlineStr"/>
      <c r="G815" t="inlineStr"/>
      <c r="H815" t="inlineStr"/>
    </row>
    <row r="816">
      <c r="A816">
        <f>HYPERLINK("https://www.ebi.ac.uk/ols/ontologies/fbbt/terms?iri=http://purl.obolibrary.org/obo/FBbt_00111763","FBbt:00111763")</f>
        <v/>
      </c>
      <c r="B816" t="inlineStr">
        <is>
          <t>lobula complex columnar neuron LPLC2</t>
        </is>
      </c>
      <c r="C816" t="inlineStr">
        <is>
          <t>lobula plate and lobula columnar neuron 2</t>
        </is>
      </c>
      <c r="D816" t="inlineStr">
        <is>
          <t>An extrinsic columnar neuron whose cell body lies in the dorsal area of the lateral cell body rind. It has its main dendritic arbors in lobula layers 4 and 5B, with minor processes in layer 5A. Presynaptic sites are observed in the layer 4. Its processes extend the full length of the lobula plate. It projects to an optic glomerulus of the PVLP, anterior to LPLC1 and dorsal to LC4. There are around 81 cells of this type.</t>
        </is>
      </c>
      <c r="E816" t="inlineStr">
        <is>
          <t>Panser et al., 2016, Curr. Biol. 26(15): 1943--1954 (flybase.org/reports/FBrf0233032); Wu et al., 2016, eLife 5: e21022 (flybase.org/reports/FBrf0234700)</t>
        </is>
      </c>
      <c r="F816" t="inlineStr"/>
      <c r="G816" t="inlineStr"/>
      <c r="H816" t="inlineStr"/>
    </row>
    <row r="817">
      <c r="A817">
        <f>HYPERLINK("https://www.ebi.ac.uk/ols/ontologies/fbbt/terms?iri=http://purl.obolibrary.org/obo/FBbt_00007540","FBbt:00007540")</f>
        <v/>
      </c>
      <c r="B817" t="inlineStr">
        <is>
          <t>fan-shaped neuron F1</t>
        </is>
      </c>
      <c r="C817" t="inlineStr">
        <is>
          <t>fan shaped neuron F1</t>
        </is>
      </c>
      <c r="D817" t="inlineStr">
        <is>
          <t>Any fan-shaped neuron (FBbt:00003657) that has synaptic terminals in some fan-shaped body layer 1 (FBbt:00007487).</t>
        </is>
      </c>
      <c r="E817" t="inlineStr">
        <is>
          <t>Li et al., 2009, Cell Tissue Res. 336(3): 509--519 (flybase.org/reports/FBrf0207994)</t>
        </is>
      </c>
      <c r="F817" t="inlineStr"/>
      <c r="G817" t="inlineStr"/>
      <c r="H817" t="inlineStr"/>
    </row>
    <row r="818">
      <c r="A818">
        <f>HYPERLINK("https://www.ebi.ac.uk/ols/ontologies/fbbt/terms?iri=http://purl.obolibrary.org/obo/FBbt_00007541","FBbt:00007541")</f>
        <v/>
      </c>
      <c r="B818" t="inlineStr">
        <is>
          <t>fan-shaped neuron F2</t>
        </is>
      </c>
      <c r="C818" t="inlineStr">
        <is>
          <t>fan shaped neuron F2</t>
        </is>
      </c>
      <c r="D818" t="inlineStr">
        <is>
          <t>Any fan-shaped neuron (FBbt:00003657) that has synaptic terminals in some fan-shaped body layer 2 (FBbt:00007488).</t>
        </is>
      </c>
      <c r="E818" t="inlineStr"/>
      <c r="F818" t="inlineStr"/>
      <c r="G818" t="inlineStr"/>
      <c r="H818" t="inlineStr"/>
    </row>
    <row r="819">
      <c r="A819">
        <f>HYPERLINK("https://www.ebi.ac.uk/ols/ontologies/fbbt/terms?iri=http://purl.obolibrary.org/obo/FBbt_00111765","FBbt:00111765")</f>
        <v/>
      </c>
      <c r="B819" t="inlineStr">
        <is>
          <t>lobula complex columnar neuron LPLC4</t>
        </is>
      </c>
      <c r="C819" t="inlineStr">
        <is>
          <t>lobula plate and lobula columnar neuron 4</t>
        </is>
      </c>
      <c r="D819" t="inlineStr">
        <is>
          <t>An extrinsic columnar neuron whose cell body lies in the dorsal area of the lateral cell body rind. It projects to a posterior and ventral optic glomerulus of the PVLP, in the same area as LC22.</t>
        </is>
      </c>
      <c r="E819" t="inlineStr">
        <is>
          <t>Panser et al., 2016, Curr. Biol. 26(15): 1943--1954 (flybase.org/reports/FBrf0233032)</t>
        </is>
      </c>
      <c r="F819" t="inlineStr"/>
      <c r="G819" t="inlineStr"/>
      <c r="H819" t="inlineStr"/>
    </row>
    <row r="820">
      <c r="A820">
        <f>HYPERLINK("https://www.ebi.ac.uk/ols/ontologies/fbbt/terms?iri=http://purl.obolibrary.org/obo/FBbt_00005738","FBbt:00005738")</f>
        <v/>
      </c>
      <c r="B820" t="inlineStr">
        <is>
          <t>medulla neuropil glial cell</t>
        </is>
      </c>
      <c r="C820" t="inlineStr">
        <is>
          <t>MNG; medulla glial cell</t>
        </is>
      </c>
      <c r="D820" t="inlineStr">
        <is>
          <t>Glial cell located in the medulla neuropil. The cell body lies at the border between the medulla cell body cortex and the medulla neuropil and send long regular extensions into the medulla neuropil (Tix et al., 1997).</t>
        </is>
      </c>
      <c r="E820" t="inlineStr">
        <is>
          <t>Tix et al., 1997, Cell Tissue Res. 289(3): 397--409 (flybase.org/reports/FBrf0096428); Poeck et al., 2001, Neuron 29(1): 99--113 (flybase.org/reports/FBrf0134808); Edwards and Meinertzhagen, 2010, Prog. Neurobiol. 90(4): 471--497 (flybase.org/reports/FBrf0210316)</t>
        </is>
      </c>
      <c r="F820" t="inlineStr"/>
      <c r="G820" t="inlineStr"/>
      <c r="H820" t="inlineStr"/>
    </row>
    <row r="821">
      <c r="A821">
        <f>HYPERLINK("https://www.ebi.ac.uk/ols/ontologies/fbbt/terms?iri=http://purl.obolibrary.org/obo/FBbt_00111067","FBbt:00111067")</f>
        <v/>
      </c>
      <c r="B821" t="inlineStr">
        <is>
          <t>medulla non-directional M6 local neuron</t>
        </is>
      </c>
      <c r="C821" t="inlineStr">
        <is>
          <t>nondirectional M6-LN</t>
        </is>
      </c>
      <c r="D821" t="inlineStr">
        <is>
          <t>Local neuron that is restricted to layer 6 of the medulla. Its soma is in the ventral or dorsal regions of the lateral cell body rind. In contrast to directional M6 local neurons, dendrites and axon terminals are not segregated, and overlap. Thirteen subtypes are recognized, that differ in their location and column coverage.</t>
        </is>
      </c>
      <c r="E821" t="inlineStr">
        <is>
          <t>Chin et al., 2014, J. Comp. Neurol. 522(17): 3795--3816 (flybase.org/reports/FBrf0226257)</t>
        </is>
      </c>
      <c r="F821" t="inlineStr"/>
      <c r="G821" t="inlineStr"/>
      <c r="H821" t="inlineStr"/>
    </row>
    <row r="822">
      <c r="A822">
        <f>HYPERLINK("https://www.ebi.ac.uk/ols/ontologies/fbbt/terms?iri=http://purl.obolibrary.org/obo/FBbt_00111066","FBbt:00111066")</f>
        <v/>
      </c>
      <c r="B822" t="inlineStr">
        <is>
          <t>medulla directional M6 local neuron</t>
        </is>
      </c>
      <c r="C822" t="inlineStr">
        <is>
          <t>directional M6-LN</t>
        </is>
      </c>
      <c r="D822" t="inlineStr">
        <is>
          <t>Local neuron that is restricted to layer 6 of the medulla. Its soma is in the medial or dorsal regions of the lateral cell body rind. In contrast to non-directional M6 local neurons, dendrites and axon terminals are segregated. Putative dendrites are found in the anterior region of the M6 layer and axons at the posterior one. Individual neurons vary greatly on how many columns they cover, with a range between 65 and 157. This neuron type includes glutamatergic neurons, among other neurotransmitters.</t>
        </is>
      </c>
      <c r="E822" t="inlineStr">
        <is>
          <t>Chin et al., 2014, J. Comp. Neurol. 522(17): 3795--3816 (flybase.org/reports/FBrf0226257)</t>
        </is>
      </c>
      <c r="F822" t="inlineStr"/>
      <c r="G822" t="inlineStr"/>
      <c r="H822" t="inlineStr"/>
    </row>
    <row r="823">
      <c r="A823">
        <f>HYPERLINK("https://www.ebi.ac.uk/ols/ontologies/fbbt/terms?iri=http://purl.obolibrary.org/obo/FBbt_00048132","FBbt:00048132")</f>
        <v/>
      </c>
      <c r="B823" t="inlineStr">
        <is>
          <t>translobula neuron</t>
        </is>
      </c>
      <c r="C823" t="inlineStr">
        <is>
          <t>translobular neuron; Tl</t>
        </is>
      </c>
      <c r="D823" t="inlineStr">
        <is>
          <t>An intrinsic columnar neuron of the optic lobe whose cell body lies in the cortex of the lobula, and that arborizes in the lobula and lobula plate.</t>
        </is>
      </c>
      <c r="E823" t="inlineStr">
        <is>
          <t>Fischbach and Dittrich, 1989, Cell Tissue Res. 258(3): 441--475 (flybase.org/reports/FBrf0049410)</t>
        </is>
      </c>
      <c r="F823" t="inlineStr"/>
      <c r="G823" t="inlineStr"/>
      <c r="H823" t="inlineStr"/>
    </row>
    <row r="824">
      <c r="A824">
        <f>HYPERLINK("https://www.ebi.ac.uk/ols/ontologies/fbbt/terms?iri=http://purl.obolibrary.org/obo/FBbt_00110568","FBbt:00110568")</f>
        <v/>
      </c>
      <c r="B824" t="inlineStr">
        <is>
          <t>adult anteriolateral neurosecretory cell</t>
        </is>
      </c>
      <c r="C824" t="inlineStr">
        <is>
          <t>NSC</t>
        </is>
      </c>
      <c r="D824" t="inlineStr">
        <is>
          <t>Neurosecretory cell of the adult pars lateralis that innervates the corpus cardiacum and aorta (Siegmund and Korge, 2001).</t>
        </is>
      </c>
      <c r="E824" t="inlineStr">
        <is>
          <t>Siegmund and Korge, 2001, J. Comp. Neurol. 431(4): 481--491 (flybase.org/reports/FBrf0134726)</t>
        </is>
      </c>
      <c r="F824" t="inlineStr"/>
      <c r="G824" t="inlineStr"/>
      <c r="H824" t="inlineStr"/>
    </row>
    <row r="825">
      <c r="A825">
        <f>HYPERLINK("https://www.ebi.ac.uk/ols/ontologies/fbbt/terms?iri=http://purl.obolibrary.org/obo/FBbt_00111411","FBbt:00111411")</f>
        <v/>
      </c>
      <c r="B825" t="inlineStr">
        <is>
          <t>PB slice 8-FB-NO subunit 3 posterior domain neuron</t>
        </is>
      </c>
      <c r="C825" t="inlineStr">
        <is>
          <t>PBR7&gt;FBR3f-NoL4; PBL7&gt;FBL3f-NoR4</t>
        </is>
      </c>
      <c r="D825" t="inlineStr">
        <is>
          <t>Small field neuron of the central complex with dendritic arbors in the protocerebral bridge slice 8 and axon terminals in the ipsilateral fan-shaped body segment pair X (column 3) and layer 1 (layer f) and the contralateral posterior domain of nodulus subunit III.</t>
        </is>
      </c>
      <c r="E825" t="inlineStr">
        <is>
          <t>Lin et al., 2013, Cell Rep. 3(5): 1739--1753 (flybase.org/reports/FBrf0221742)</t>
        </is>
      </c>
      <c r="F825" t="inlineStr"/>
      <c r="G825" t="inlineStr"/>
      <c r="H825" t="inlineStr"/>
    </row>
    <row r="826">
      <c r="A826">
        <f>HYPERLINK("https://www.ebi.ac.uk/ols/ontologies/fbbt/terms?iri=http://purl.obolibrary.org/obo/FBbt_00111412","FBbt:00111412")</f>
        <v/>
      </c>
      <c r="B826" t="inlineStr">
        <is>
          <t>PB slice 9-FB-NO subunit 3 posterior domain neuron</t>
        </is>
      </c>
      <c r="C826" t="inlineStr">
        <is>
          <t>PBL8&gt;FBL4f-NoR4; PBR8&gt;FBR4f-NoL4</t>
        </is>
      </c>
      <c r="D826" t="inlineStr">
        <is>
          <t>Small field neuron of the central complex with dendritic arbors in the protocerebral bridge slice 9 and axon terminals in the ipsilateral fan-shaped body segment pair W (column 4) and layer 1 (layer f) and the contralateral posterior domain of nodulus subunit III.</t>
        </is>
      </c>
      <c r="E826" t="inlineStr">
        <is>
          <t>Lin et al., 2013, Cell Rep. 3(5): 1739--1753 (flybase.org/reports/FBrf0221742)</t>
        </is>
      </c>
      <c r="F826" t="inlineStr"/>
      <c r="G826" t="inlineStr"/>
      <c r="H826" t="inlineStr"/>
    </row>
    <row r="827">
      <c r="A827">
        <f>HYPERLINK("https://www.ebi.ac.uk/ols/ontologies/fbbt/terms?iri=http://purl.obolibrary.org/obo/FBbt_00111156","FBbt:00111156")</f>
        <v/>
      </c>
      <c r="B827" t="inlineStr">
        <is>
          <t>adult fruitless aSG5 neuron</t>
        </is>
      </c>
      <c r="C827" t="inlineStr">
        <is>
          <t>aSG5 neuron; fru-SG neuron</t>
        </is>
      </c>
      <c r="D827" t="inlineStr">
        <is>
          <t>Any neuron (FBbt:00005106) that is part of some adult fruitless aSG5 lineage clone (FBbt:00111155).</t>
        </is>
      </c>
      <c r="E827" t="inlineStr">
        <is>
          <t>Yu et al., 2010, Curr. Biol. 20(18): 1602--1614 (flybase.org/reports/FBrf0211884)</t>
        </is>
      </c>
      <c r="F827" t="inlineStr"/>
      <c r="G827" t="inlineStr"/>
      <c r="H827" t="inlineStr"/>
    </row>
    <row r="828">
      <c r="A828">
        <f>HYPERLINK("https://www.ebi.ac.uk/ols/ontologies/fbbt/terms?iri=http://purl.obolibrary.org/obo/FBbt_00111410","FBbt:00111410")</f>
        <v/>
      </c>
      <c r="B828" t="inlineStr">
        <is>
          <t>PB slice 7-FB-NO subunit 3 posterior domain neuron</t>
        </is>
      </c>
      <c r="C828" t="inlineStr">
        <is>
          <t>PBL6&gt;FBL2f-NoR4</t>
        </is>
      </c>
      <c r="D828" t="inlineStr">
        <is>
          <t>Small field neuron of the central complex with dendritic arbors in the protocerebral bridge slice 7 and axon terminals in the ipsilateral fan-shaped body segment pair Y (column 2) and layer 1 (layer f) and the contralateral posterior domain of nodulus subunit III.</t>
        </is>
      </c>
      <c r="E828" t="inlineStr">
        <is>
          <t>Lin et al., 2013, Cell Rep. 3(5): 1739--1753 (flybase.org/reports/FBrf0221742)</t>
        </is>
      </c>
      <c r="F828" t="inlineStr"/>
      <c r="G828" t="inlineStr"/>
      <c r="H828" t="inlineStr"/>
    </row>
    <row r="829">
      <c r="A829">
        <f>HYPERLINK("https://www.ebi.ac.uk/ols/ontologies/fbbt/terms?iri=http://purl.obolibrary.org/obo/FBbt_00111746","FBbt:00111746")</f>
        <v/>
      </c>
      <c r="B829" t="inlineStr">
        <is>
          <t>lobula columnar neuron LC10c</t>
        </is>
      </c>
      <c r="C829" t="inlineStr">
        <is>
          <t>None</t>
        </is>
      </c>
      <c r="D829" t="inlineStr">
        <is>
          <t>Subtype of lobula columnar neuron LC10A. It has its main arbors in lobula layer 5B, some branches in 6 and some processes reaching into 5A. It projects to the most lateral of the dorsal optic glomeruli of the PVLP, ventral to LC16. There are around 70 cells of this type.</t>
        </is>
      </c>
      <c r="E829" t="inlineStr">
        <is>
          <t>Wu et al., 2016, eLife 5: e21022 (flybase.org/reports/FBrf0234700)</t>
        </is>
      </c>
      <c r="F829" t="inlineStr"/>
      <c r="G829" t="inlineStr"/>
      <c r="H829" t="inlineStr"/>
    </row>
    <row r="830">
      <c r="A830">
        <f>HYPERLINK("https://www.ebi.ac.uk/ols/ontologies/fbbt/terms?iri=http://purl.obolibrary.org/obo/FBbt_00111748","FBbt:00111748")</f>
        <v/>
      </c>
      <c r="B830" t="inlineStr">
        <is>
          <t>lobula columnar neuron LC10d</t>
        </is>
      </c>
      <c r="C830" t="inlineStr">
        <is>
          <t>None</t>
        </is>
      </c>
      <c r="D830" t="inlineStr">
        <is>
          <t>Subtype of lobula columnar neuron LC10B. It has its main arbors in lobula layers 4 to 6, with less dense arbors in 5B than in layers 4, 6 or 5A (in contrast to LC10a). Presynaptic sites are observed in layers 4 and 6 (less numerous than LC10a in layer 3 and LC10b in layer 6). Its arbor is much smaller than LC10b. There are around 84 cells of this type.</t>
        </is>
      </c>
      <c r="E830" t="inlineStr">
        <is>
          <t>Wu et al., 2016, eLife 5: e21022 (flybase.org/reports/FBrf0234700)</t>
        </is>
      </c>
      <c r="F830" t="inlineStr"/>
      <c r="G830" t="inlineStr"/>
      <c r="H830" t="inlineStr"/>
    </row>
    <row r="831">
      <c r="A831">
        <f>HYPERLINK("https://www.ebi.ac.uk/ols/ontologies/fbbt/terms?iri=http://purl.obolibrary.org/obo/FBbt_00111747","FBbt:00111747")</f>
        <v/>
      </c>
      <c r="B831" t="inlineStr">
        <is>
          <t>lobula columnar neuron LC10a</t>
        </is>
      </c>
      <c r="C831" t="inlineStr">
        <is>
          <t>None</t>
        </is>
      </c>
      <c r="D831" t="inlineStr">
        <is>
          <t>Subtype of lobula columnar neuron LC10B. It has its main arbors in lobula layers 3, 4 and 5B, with some processes extending into layer 2 and some branches in layers 5 and 6. Presynaptic sites are observed in layer 3.</t>
        </is>
      </c>
      <c r="E831" t="inlineStr">
        <is>
          <t>Wu et al., 2016, eLife 5: e21022 (flybase.org/reports/FBrf0234700)</t>
        </is>
      </c>
      <c r="F831" t="inlineStr"/>
      <c r="G831" t="inlineStr"/>
      <c r="H831" t="inlineStr"/>
    </row>
    <row r="832">
      <c r="A832">
        <f>HYPERLINK("https://www.ebi.ac.uk/ols/ontologies/fbbt/terms?iri=http://purl.obolibrary.org/obo/FBbt_00111745","FBbt:00111745")</f>
        <v/>
      </c>
      <c r="B832" t="inlineStr">
        <is>
          <t>lobula columnar neuron LC10b</t>
        </is>
      </c>
      <c r="C832" t="inlineStr">
        <is>
          <t>None</t>
        </is>
      </c>
      <c r="D832" t="inlineStr">
        <is>
          <t>Subtype of lobula columnar neuron LC10A. It has its main arbors in lobula layers 4 to 6, with arbors denser in the latter, and many parallel processes exist between the two layers. Presynaptic sites are mainly observed in layer 6, with some in layers 4 and 5A.</t>
        </is>
      </c>
      <c r="E832" t="inlineStr">
        <is>
          <t>Wu et al., 2016, eLife 5: e21022 (flybase.org/reports/FBrf0234700)</t>
        </is>
      </c>
      <c r="F832" t="inlineStr"/>
      <c r="G832" t="inlineStr"/>
      <c r="H832" t="inlineStr"/>
    </row>
    <row r="833">
      <c r="A833">
        <f>HYPERLINK("https://www.ebi.ac.uk/ols/ontologies/fbbt/terms?iri=http://purl.obolibrary.org/obo/FBbt_00003832","FBbt:00003832")</f>
        <v/>
      </c>
      <c r="B833" t="inlineStr">
        <is>
          <t>proximal medullary amacrine neuron</t>
        </is>
      </c>
      <c r="C833" t="inlineStr">
        <is>
          <t>Pm</t>
        </is>
      </c>
      <c r="D833" t="inlineStr">
        <is>
          <t>An amacrine neuron that is intrinsic to the medulla and that branches and arborizes in the proximal medulla. Generally, the soma is located in the cortex adjacent to the medulla and that projects through the proximal surface of the medulla, to form wide (sometimes very wide) terminal arborizations mainly or completely restricted to a single layer of the medulla.</t>
        </is>
      </c>
      <c r="E833" t="inlineStr">
        <is>
          <t>Fischbach and Dittrich, 1989, Cell Tissue Res. 258(3): 441--475 (flybase.org/reports/FBrf0049410)</t>
        </is>
      </c>
      <c r="F833" t="inlineStr"/>
      <c r="G833" t="inlineStr"/>
      <c r="H833" t="inlineStr"/>
    </row>
    <row r="834">
      <c r="A834">
        <f>HYPERLINK("https://www.ebi.ac.uk/ols/ontologies/fbbt/terms?iri=http://purl.obolibrary.org/obo/FBbt_00003741","FBbt:00003741")</f>
        <v/>
      </c>
      <c r="B834" t="inlineStr">
        <is>
          <t>lamina wide-field 1 neuron</t>
        </is>
      </c>
      <c r="C834" t="inlineStr">
        <is>
          <t>Lawf; Lawf1; lamina wide-field neuron; LaWF1</t>
        </is>
      </c>
      <c r="D834" t="inlineStr">
        <is>
          <t>An intrinsic columnar neuron of the visual system whose cell body is located in the medulla cortex and that has a main projection that ascends via the first optic chiasm into the lamina where it is restricted to a single column for most of its length before making wide-field arborizations in the distal lamina. These neurons also arborize on the distal surface of the medulla in a circular field of about 20 columns. Several linking fibers from this arborization descend into M4 where they form a wide arborization field covering about 30-40 columns (Fischbach and Dittrich, 1989; Morante and Desplan, 2008). In the lamina, it forms presynaptic terminals with photoreceptors R1-R3 and R6, lamina monopolar cells L1-L3 and L5, lamina amacrine neurons Lai, centrifugal neurons C2-C3 and columnar neuron T1. It also establishes connections with epithelial glial cells. It receives input from photoreceptor R1. Synaptic connections also exist between the different collaterals of Lawf in the lamina (Rivera-Alba et al., 2011).</t>
        </is>
      </c>
      <c r="E834" t="inlineStr">
        <is>
          <t>Fischbach and Dittrich, 1989, Cell Tissue Res. 258(3): 441--475 (flybase.org/reports/FBrf0049410); Morante and Desplan, 2008, Curr. Biol. 18(8): 553--565 (flybase.org/reports/FBrf0204652); Rivera-Alba et al., 2011, Curr. Biol. 21(23): 2000--2005 (flybase.org/reports/FBrf0216925)</t>
        </is>
      </c>
      <c r="F834" t="inlineStr"/>
      <c r="G834" t="inlineStr"/>
      <c r="H834" t="inlineStr"/>
    </row>
    <row r="835">
      <c r="A835">
        <f>HYPERLINK("https://www.ebi.ac.uk/ols/ontologies/fbbt/terms?iri=http://purl.obolibrary.org/obo/FBbt_00003882","FBbt:00003882")</f>
        <v/>
      </c>
      <c r="B835" t="inlineStr">
        <is>
          <t>lobula intrinsic neuron</t>
        </is>
      </c>
      <c r="C835" t="inlineStr">
        <is>
          <t>lobular intrinsic neuron; Li</t>
        </is>
      </c>
      <c r="D835" t="inlineStr">
        <is>
          <t>Columnar neuron that innervates only the lobula.</t>
        </is>
      </c>
      <c r="E835" t="inlineStr">
        <is>
          <t>Fischbach and Dittrich, 1989, Cell Tissue Res. 258(3): 441--475 (flybase.org/reports/FBrf0049410)</t>
        </is>
      </c>
      <c r="F835" t="inlineStr"/>
      <c r="G835" t="inlineStr"/>
      <c r="H835" t="inlineStr"/>
    </row>
    <row r="836">
      <c r="A836">
        <f>HYPERLINK("https://www.ebi.ac.uk/ols/ontologies/fbbt/terms?iri=http://purl.obolibrary.org/obo/FBbt_00111409","FBbt:00111409")</f>
        <v/>
      </c>
      <c r="B836" t="inlineStr">
        <is>
          <t>PB slice 6-FB-NO subunit 3 posterior domain neuron</t>
        </is>
      </c>
      <c r="C836" t="inlineStr">
        <is>
          <t>PBL5&gt;FBR1f,L1f-NoR4; PBR5&gt;FBL1f,R1f-NoL4</t>
        </is>
      </c>
      <c r="D836" t="inlineStr">
        <is>
          <t>Small field neuron of the central complex with dendritic arbors in the protocerebral bridge slice 6 and axon terminals in both fan-shaped body segment pair Z (column 1) and layer 1 (layer f) and the contralateral posterior domain of nodulus subunit III.</t>
        </is>
      </c>
      <c r="E836" t="inlineStr">
        <is>
          <t>Lin et al., 2013, Cell Rep. 3(5): 1739--1753 (flybase.org/reports/FBrf0221742)</t>
        </is>
      </c>
      <c r="F836" t="inlineStr"/>
      <c r="G836" t="inlineStr"/>
      <c r="H836" t="inlineStr"/>
    </row>
    <row r="837">
      <c r="A837">
        <f>HYPERLINK("https://www.ebi.ac.uk/ols/ontologies/fbbt/terms?iri=http://purl.obolibrary.org/obo/FBbt_00111408","FBbt:00111408")</f>
        <v/>
      </c>
      <c r="B837" t="inlineStr">
        <is>
          <t>PB slice 5-FB-NO subunit 3 posterior domain neuron</t>
        </is>
      </c>
      <c r="C837" t="inlineStr">
        <is>
          <t>PBL4&gt;FBR2f-NoR4; PBR4&gt;FBL2f-NoL4</t>
        </is>
      </c>
      <c r="D837" t="inlineStr">
        <is>
          <t>Small field neuron of the central complex with dendritic arbors in the protocerebral bridge slice 5 and axon terminals in the contralateral fan-shaped body segment pair Y (column 2) and layer 1 (layer f) and the contralateral posterior domain of nodulus subunit III.</t>
        </is>
      </c>
      <c r="E837" t="inlineStr">
        <is>
          <t>Lin et al., 2013, Cell Rep. 3(5): 1739--1753 (flybase.org/reports/FBrf0221742)</t>
        </is>
      </c>
      <c r="F837" t="inlineStr"/>
      <c r="G837" t="inlineStr"/>
      <c r="H837" t="inlineStr"/>
    </row>
    <row r="838">
      <c r="A838">
        <f>HYPERLINK("https://www.ebi.ac.uk/ols/ontologies/fbbt/terms?iri=http://purl.obolibrary.org/obo/FBbt_00003742","FBbt:00003742")</f>
        <v/>
      </c>
      <c r="B838" t="inlineStr">
        <is>
          <t>centrifugal neuron</t>
        </is>
      </c>
      <c r="C838" t="inlineStr">
        <is>
          <t>None</t>
        </is>
      </c>
      <c r="D838" t="inlineStr">
        <is>
          <t>Columnar neuron whose soma lies in the cortex between the medulla and the lobula plate that extends through a single column of the medulla and lamina.</t>
        </is>
      </c>
      <c r="E838" t="inlineStr">
        <is>
          <t>Fischbach and Dittrich, 1989, Cell Tissue Res. 258(3): 441--475 (flybase.org/reports/FBrf0049410)</t>
        </is>
      </c>
      <c r="F838" t="inlineStr"/>
      <c r="G838" t="inlineStr"/>
      <c r="H838" t="inlineStr"/>
    </row>
    <row r="839">
      <c r="A839">
        <f>HYPERLINK("https://www.ebi.ac.uk/ols/ontologies/fbbt/terms?iri=http://purl.obolibrary.org/obo/FBbt_00007433","FBbt:00007433")</f>
        <v/>
      </c>
      <c r="B839" t="inlineStr">
        <is>
          <t>Pdf negative s-LNv neuron</t>
        </is>
      </c>
      <c r="C839" t="inlineStr">
        <is>
          <t>PDH negative s-LNV neuron; PDH-negative s-LNV neuron; sLNv PDF-negative; PDF-negative s-LNv; 5th sLNv neuron</t>
        </is>
      </c>
      <c r="D839" t="inlineStr">
        <is>
          <t>s-LNv neuron of the adult brain that does not express Pdf (FBgn0023178). There is one of these in each ventral cluster of LN period neurons. It is located more dorsally than the s-LNv Pdf neurons (Helfrich-Forster, 2007; Rieger et al., 2006). It extends a single neurite through the medulla that invades the lamina, forming thin arborizations in the lamina cortex near the retina that terminate at the border of the fenestrated glia (Damulewicz and Pyza, 2011). In the central brain, it extends arborizations that predominantly terminate in the neuropil region close to the pars intercerebralis. This neuron also expresses ion transport peptide (ITP) (Schubert et al., 2017).</t>
        </is>
      </c>
      <c r="E839" t="inlineStr">
        <is>
          <t>Helfrich-Forster, 1998, J. Comp. Physiol. A, Sens. Neural. Behav. Physiol. 182(4): 435--453 (flybase.org/reports/FBrf0101921); Damulewicz and Pyza, 2011, PLoS ONE 6(6): e21258 (flybase.org/reports/FBrf0214354); Hermann-Luibl et al., 2014, J. Neurosci. 34(29): 9522--9536 (flybase.org/reports/FBrf0225654); Schubert et al., 2018, J. Comp. Neurol. 526(7): 1209--1231 (flybase.org/reports/FBrf0238313)</t>
        </is>
      </c>
      <c r="F839" t="inlineStr"/>
      <c r="G839" t="inlineStr"/>
      <c r="H839" t="inlineStr"/>
    </row>
    <row r="840">
      <c r="A840">
        <f>HYPERLINK("https://www.ebi.ac.uk/ols/ontologies/fbbt/terms?iri=http://purl.obolibrary.org/obo/FBbt_00003890","FBbt:00003890")</f>
        <v/>
      </c>
      <c r="B840" t="inlineStr">
        <is>
          <t>translobula plate neuron</t>
        </is>
      </c>
      <c r="C840" t="inlineStr">
        <is>
          <t>Tlp; translobula-plate neuron; translobullar plate neuron</t>
        </is>
      </c>
      <c r="D840" t="inlineStr">
        <is>
          <t>An intrinsic columnar neuron of the optic lobe whose cell body lies in the cortex of the lobula plate, and that arborizes in the lobula and lobula plate.</t>
        </is>
      </c>
      <c r="E840" t="inlineStr">
        <is>
          <t>Fischbach and Dittrich, 1989, Cell Tissue Res. 258(3): 441--475 (flybase.org/reports/FBrf0049410)</t>
        </is>
      </c>
      <c r="F840" t="inlineStr"/>
      <c r="G840" t="inlineStr"/>
      <c r="H840" t="inlineStr"/>
    </row>
    <row r="841">
      <c r="A841">
        <f>HYPERLINK("https://www.ebi.ac.uk/ols/ontologies/fbbt/terms?iri=http://purl.obolibrary.org/obo/FBbt_00111394","FBbt:00111394")</f>
        <v/>
      </c>
      <c r="B841" t="inlineStr">
        <is>
          <t>PB slice 5-FB-NO subunit 2 dorsal domain neuron</t>
        </is>
      </c>
      <c r="C841" t="inlineStr">
        <is>
          <t>PBR4&gt;FBL2d-NoL2</t>
        </is>
      </c>
      <c r="D841" t="inlineStr">
        <is>
          <t>Small field neuron of the central complex with dendritic arbors in the protocerebral bridge slice 5 and axon terminals in the contralateral fan-shaped body segment pair Y (column 2) and layer 3 (layer d) and the contralateral dorsal domain of the nodulus subunit II.</t>
        </is>
      </c>
      <c r="E841" t="inlineStr">
        <is>
          <t>Lin et al., 2013, Cell Rep. 3(5): 1739--1753 (flybase.org/reports/FBrf0221742); Wolff et al., 2015, J. Comp. Neurol. 523(7): 997--1037 (flybase.org/reports/FBrf0227801)</t>
        </is>
      </c>
      <c r="F841" t="inlineStr"/>
      <c r="G841" t="inlineStr"/>
      <c r="H841" t="inlineStr"/>
    </row>
    <row r="842">
      <c r="A842">
        <f>HYPERLINK("https://www.ebi.ac.uk/ols/ontologies/fbbt/terms?iri=http://purl.obolibrary.org/obo/FBbt_00111393","FBbt:00111393")</f>
        <v/>
      </c>
      <c r="B842" t="inlineStr">
        <is>
          <t>PB slice 4-FB-NO subunit 2 dorsal domain neuron</t>
        </is>
      </c>
      <c r="C842" t="inlineStr">
        <is>
          <t>PBR3&gt;FBL3d-NoL2; PBL3&gt;FBR3d-NoR2</t>
        </is>
      </c>
      <c r="D842" t="inlineStr">
        <is>
          <t>Small field neuron of the central complex with dendritic arbors in the protocerebral bridge slice 4 and axon terminals in the contralateral fan-shaped body segment pair X (column 3) and layer 3 (layer d) and the contralateral dorsal domain of the nodulus subunit II.</t>
        </is>
      </c>
      <c r="E842" t="inlineStr">
        <is>
          <t>Lin et al., 2013, Cell Rep. 3(5): 1739--1753 (flybase.org/reports/FBrf0221742); Wolff et al., 2015, J. Comp. Neurol. 523(7): 997--1037 (flybase.org/reports/FBrf0227801)</t>
        </is>
      </c>
      <c r="F842" t="inlineStr"/>
      <c r="G842" t="inlineStr"/>
      <c r="H842" t="inlineStr"/>
    </row>
    <row r="843">
      <c r="A843">
        <f>HYPERLINK("https://www.ebi.ac.uk/ols/ontologies/fbbt/terms?iri=http://purl.obolibrary.org/obo/FBbt_00111395","FBbt:00111395")</f>
        <v/>
      </c>
      <c r="B843" t="inlineStr">
        <is>
          <t>PB slice 6-FB-NO subunit 2 dorsal domain neuron</t>
        </is>
      </c>
      <c r="C843" t="inlineStr">
        <is>
          <t>PBR5&gt;FBL1d,R1d-NoL2; PBL5&gt;FBL1d,R1d-NoR2</t>
        </is>
      </c>
      <c r="D843" t="inlineStr">
        <is>
          <t>Small field neuron of the central complex with dendritic arbors in the protocerebral bridge slice 6 and axon terminals in both fan-shaped body segment pair Z (column 1) and layer 3 (layer d) and the contralateral dorsal domain of the nodulus subunit II.</t>
        </is>
      </c>
      <c r="E843" t="inlineStr">
        <is>
          <t>Lin et al., 2013, Cell Rep. 3(5): 1739--1753 (flybase.org/reports/FBrf0221742); Wolff et al., 2015, J. Comp. Neurol. 523(7): 997--1037 (flybase.org/reports/FBrf0227801)</t>
        </is>
      </c>
      <c r="F843" t="inlineStr"/>
      <c r="G843" t="inlineStr"/>
      <c r="H843" t="inlineStr"/>
    </row>
    <row r="844">
      <c r="A844">
        <f>HYPERLINK("https://www.ebi.ac.uk/ols/ontologies/fbbt/terms?iri=http://purl.obolibrary.org/obo/FBbt_00111391","FBbt:00111391")</f>
        <v/>
      </c>
      <c r="B844" t="inlineStr">
        <is>
          <t>PB slice 2-FB-NO subunit 2 dorsal domain neuron</t>
        </is>
      </c>
      <c r="C844" t="inlineStr">
        <is>
          <t>PBR1&gt;FBL4d-NoL2; PBL1&gt;FBR4d-NoR2</t>
        </is>
      </c>
      <c r="D844" t="inlineStr">
        <is>
          <t>Small field neuron of the central complex with dendritic arbors in the protocerebral bridge slice 2 and axon terminals in the contralateral fan-shaped body segment pair W (column 4) and layer 3 (layer d) and the contralateral dorsal domain of the nodulus subunit II.</t>
        </is>
      </c>
      <c r="E844" t="inlineStr">
        <is>
          <t>Lin et al., 2013, Cell Rep. 3(5): 1739--1753 (flybase.org/reports/FBrf0221742); Wolff et al., 2015, J. Comp. Neurol. 523(7): 997--1037 (flybase.org/reports/FBrf0227801)</t>
        </is>
      </c>
      <c r="F844" t="inlineStr"/>
      <c r="G844" t="inlineStr"/>
      <c r="H844" t="inlineStr"/>
    </row>
    <row r="845">
      <c r="A845">
        <f>HYPERLINK("https://www.ebi.ac.uk/ols/ontologies/fbbt/terms?iri=http://purl.obolibrary.org/obo/FBbt_00111392","FBbt:00111392")</f>
        <v/>
      </c>
      <c r="B845" t="inlineStr">
        <is>
          <t>PB slice 3-FB-NO subunit 2 dorsal domain neuron</t>
        </is>
      </c>
      <c r="C845" t="inlineStr">
        <is>
          <t>PBL2&gt;FBR4d-NoR2</t>
        </is>
      </c>
      <c r="D845" t="inlineStr">
        <is>
          <t>Small field neuron of the central complex with dendritic arbors in the protocerebral bridge slice 3 and axon terminals in the contralateral fan-shaped body segment pair W (column 4) and layer 3 (layer d) and the contralateral dorsal domain of the nodulus subunit II.</t>
        </is>
      </c>
      <c r="E845" t="inlineStr">
        <is>
          <t>Lin et al., 2013, Cell Rep. 3(5): 1739--1753 (flybase.org/reports/FBrf0221742); Wolff et al., 2015, J. Comp. Neurol. 523(7): 997--1037 (flybase.org/reports/FBrf0227801)</t>
        </is>
      </c>
      <c r="F845" t="inlineStr"/>
      <c r="G845" t="inlineStr"/>
      <c r="H845" t="inlineStr"/>
    </row>
    <row r="846">
      <c r="A846">
        <f>HYPERLINK("https://www.ebi.ac.uk/ols/ontologies/fbbt/terms?iri=http://purl.obolibrary.org/obo/FBbt_00111398","FBbt:00111398")</f>
        <v/>
      </c>
      <c r="B846" t="inlineStr">
        <is>
          <t>PB slice 4-FB-NO subunit 3 anterior domain neuron</t>
        </is>
      </c>
      <c r="C846" t="inlineStr">
        <is>
          <t>PBL3&gt;FBR3e-NoR3; PBR3&gt;FBL3e-NoL3</t>
        </is>
      </c>
      <c r="D846" t="inlineStr">
        <is>
          <t>Small field neuron of the central complex with dendritic arbors in the protocerebral bridge slice 4 and axon terminals in the contralateral fan-shaped body segment pair X (column 3) and layer 2 (layer e) and the contralateral anterior domain of nodulus subunit III.</t>
        </is>
      </c>
      <c r="E846" t="inlineStr">
        <is>
          <t>Lin et al., 2013, Cell Rep. 3(5): 1739--1753 (flybase.org/reports/FBrf0221742)</t>
        </is>
      </c>
      <c r="F846" t="inlineStr"/>
      <c r="G846" t="inlineStr"/>
      <c r="H846" t="inlineStr"/>
    </row>
    <row r="847">
      <c r="A847">
        <f>HYPERLINK("https://www.ebi.ac.uk/ols/ontologies/fbbt/terms?iri=http://purl.obolibrary.org/obo/FBbt_00003775","FBbt:00003775")</f>
        <v/>
      </c>
      <c r="B847" t="inlineStr">
        <is>
          <t>medullary intrinsic neuron</t>
        </is>
      </c>
      <c r="C847" t="inlineStr">
        <is>
          <t>Mi</t>
        </is>
      </c>
      <c r="D847" t="inlineStr">
        <is>
          <t>A columnar neuron whose cell body lies in the medulla cortex and that is intrinsic to the medulla.</t>
        </is>
      </c>
      <c r="E847" t="inlineStr">
        <is>
          <t>Fischbach and Dittrich, 1989, Cell Tissue Res. 258(3): 441--475 (flybase.org/reports/FBrf0049410)</t>
        </is>
      </c>
      <c r="F847" t="inlineStr"/>
      <c r="G847" t="inlineStr"/>
      <c r="H847" t="inlineStr"/>
    </row>
    <row r="848">
      <c r="A848">
        <f>HYPERLINK("https://www.ebi.ac.uk/ols/ontologies/fbbt/terms?iri=http://purl.obolibrary.org/obo/FBbt_00111399","FBbt:00111399")</f>
        <v/>
      </c>
      <c r="B848" t="inlineStr">
        <is>
          <t>PB slice 5-FB-NO subunit 3 anterior domain neuron</t>
        </is>
      </c>
      <c r="C848" t="inlineStr">
        <is>
          <t>PBR4&gt;FBL2e-NoL3</t>
        </is>
      </c>
      <c r="D848" t="inlineStr">
        <is>
          <t>Small field neuron of the central complex with dendritic arbors in the protocerebral bridge slice 5 and axon terminals in the contralateral fan-shaped body segment pair Y (column 2) and layer 2 (layer e) and the contralateral anterior domain of nodulus subunit III.</t>
        </is>
      </c>
      <c r="E848" t="inlineStr">
        <is>
          <t>Lin et al., 2013, Cell Rep. 3(5): 1739--1753 (flybase.org/reports/FBrf0221742)</t>
        </is>
      </c>
      <c r="F848" t="inlineStr"/>
      <c r="G848" t="inlineStr"/>
      <c r="H848" t="inlineStr"/>
    </row>
    <row r="849">
      <c r="A849">
        <f>HYPERLINK("https://www.ebi.ac.uk/ols/ontologies/fbbt/terms?iri=http://purl.obolibrary.org/obo/FBbt_00111397","FBbt:00111397")</f>
        <v/>
      </c>
      <c r="B849" t="inlineStr">
        <is>
          <t>PB slice 3-FB-NO subunit 3 anterior domain neuron</t>
        </is>
      </c>
      <c r="C849" t="inlineStr">
        <is>
          <t>PBR2&gt;FBL4e-NoL3; PBL2&gt;FBR4e-NoR3</t>
        </is>
      </c>
      <c r="D849" t="inlineStr">
        <is>
          <t>Small field neuron of the central complex with dendritic arbors in the protocerebral bridge slice 3 and axon terminals in the contralateral fan-shaped body segment pair W (column 4) and layer 2 (layer e) and the contralateral anterior domain of nodulus subunit III.</t>
        </is>
      </c>
      <c r="E849" t="inlineStr">
        <is>
          <t>Lin et al., 2013, Cell Rep. 3(5): 1739--1753 (flybase.org/reports/FBrf0221742)</t>
        </is>
      </c>
      <c r="F849" t="inlineStr"/>
      <c r="G849" t="inlineStr"/>
      <c r="H849" t="inlineStr"/>
    </row>
    <row r="850">
      <c r="A850">
        <f>HYPERLINK("https://www.ebi.ac.uk/ols/ontologies/fbbt/terms?iri=http://purl.obolibrary.org/obo/FBbt_00100525","FBbt:00100525")</f>
        <v/>
      </c>
      <c r="B850" t="inlineStr">
        <is>
          <t>adult optic chiasma glial cell</t>
        </is>
      </c>
      <c r="C850" t="inlineStr">
        <is>
          <t>adult optic chiasm glial cell</t>
        </is>
      </c>
      <c r="D850" t="inlineStr">
        <is>
          <t>Glial cell of the adult fly that is located in the optic chiasm (Tix et al., 1997). Members of this group of glial cells are arranged in rows between successive dorsoventral sheets of intercrossing fibers of the outer and inner chiasmata (Edwards and Meinertzhagen, 2010; Tix et al., 1997).</t>
        </is>
      </c>
      <c r="E850" t="inlineStr">
        <is>
          <t>Tix et al., 1997, Cell Tissue Res. 289(3): 397--409 (flybase.org/reports/FBrf0096428); Edwards and Meinertzhagen, 2010, Prog. Neurobiol. 90(4): 471--497 (flybase.org/reports/FBrf0210316)</t>
        </is>
      </c>
      <c r="F850" t="inlineStr"/>
      <c r="G850" t="inlineStr"/>
      <c r="H850" t="inlineStr"/>
    </row>
    <row r="851">
      <c r="A851">
        <f>HYPERLINK("https://www.ebi.ac.uk/ols/ontologies/fbbt/terms?iri=http://purl.obolibrary.org/obo/FBbt_00110065","FBbt:00110065")</f>
        <v/>
      </c>
      <c r="B851" t="inlineStr">
        <is>
          <t>lamina wide-field 2 neuron</t>
        </is>
      </c>
      <c r="C851" t="inlineStr">
        <is>
          <t>Lawf2; Lawfl2</t>
        </is>
      </c>
      <c r="D851" t="inlineStr">
        <is>
          <t>An intrinsic columnar neuron of the visual system whose cell body is located in the medulla cortex and that has a main projection into the lamina making wide-field arborizations in the distal lamina, innervating 28 cartridges. These neurons also arborize in the medulla (Hasegawa et al., 2011). In the M1 layer, the branches are large and overlapping, encompassing around 120 cartridges. In medulla layers M8 to M10 the branches are smaller, encompassing around 17 cartridges and show less overlap. Putative cholinergic presynaptic sites are observed in the lamina.</t>
        </is>
      </c>
      <c r="E851" t="inlineStr">
        <is>
          <t>Hasegawa et al., 2011, Development 138(5): 983--993 (flybase.org/reports/FBrf0213020); Tuthill et al., 2014, Neuron 82(4): 887--895 (flybase.org/reports/FBrf0225131)</t>
        </is>
      </c>
      <c r="F851" t="inlineStr"/>
      <c r="G851" t="inlineStr"/>
      <c r="H851" t="inlineStr"/>
    </row>
    <row r="852">
      <c r="A852">
        <f>HYPERLINK("https://www.ebi.ac.uk/ols/ontologies/fbbt/terms?iri=http://purl.obolibrary.org/obo/FBbt_00110066","FBbt:00110066")</f>
        <v/>
      </c>
      <c r="B852" t="inlineStr">
        <is>
          <t>proximal medullary amacrine neuron Pm3</t>
        </is>
      </c>
      <c r="C852" t="inlineStr">
        <is>
          <t>Pm3</t>
        </is>
      </c>
      <c r="D852" t="inlineStr">
        <is>
          <t>Proximal medullary amacrine neuron that branches at the proximal surface of the medulla, with both branches forming a broad terminal arbor in medulla layer M9. The processes of different cells intermingle significantly, and the arbor density is heterogenous. It occupies a peripheral intracolumnar position.</t>
        </is>
      </c>
      <c r="E852" t="inlineStr">
        <is>
          <t>Hasegawa et al., 2011, Development 138(5): 983--993 (flybase.org/reports/FBrf0213020); Nern et al., 2015, Proc. Natl. Acad. Sci. U.S.A. 112(22): E2967--E2976 (flybase.org/reports/FBrf0228639)</t>
        </is>
      </c>
      <c r="F852" t="inlineStr"/>
      <c r="G852" t="inlineStr"/>
      <c r="H852" t="inlineStr"/>
    </row>
    <row r="853">
      <c r="A853">
        <f>HYPERLINK("https://www.ebi.ac.uk/ols/ontologies/fbbt/terms?iri=http://purl.obolibrary.org/obo/FBbt_00110067","FBbt:00110067")</f>
        <v/>
      </c>
      <c r="B853" t="inlineStr">
        <is>
          <t>transmedullary Y neuron Tm27Y</t>
        </is>
      </c>
      <c r="C853" t="inlineStr">
        <is>
          <t>Tm27Y</t>
        </is>
      </c>
      <c r="D853" t="inlineStr">
        <is>
          <t>Transmedullary Y neuron that terminates in lobula layer 4 and lobula plate. It displays arborizations in medulla layers M1, M4, M5, M8, M9 and M10 (Hasegawa et al., 2011).</t>
        </is>
      </c>
      <c r="E853" t="inlineStr">
        <is>
          <t>Hasegawa et al., 2011, Development 138(5): 983--993 (flybase.org/reports/FBrf0213020)</t>
        </is>
      </c>
      <c r="F853" t="inlineStr"/>
      <c r="G853" t="inlineStr"/>
      <c r="H853" t="inlineStr"/>
    </row>
    <row r="854">
      <c r="A854">
        <f>HYPERLINK("https://www.ebi.ac.uk/ols/ontologies/fbbt/terms?iri=http://purl.obolibrary.org/obo/FBbt_00003656","FBbt:00003656")</f>
        <v/>
      </c>
      <c r="B854" t="inlineStr">
        <is>
          <t>extrinsic ring neuron ExR2</t>
        </is>
      </c>
      <c r="C854" t="inlineStr">
        <is>
          <t>ExR2</t>
        </is>
      </c>
      <c r="D854" t="inlineStr">
        <is>
          <t>Extrinsic ring neuron that arborizes with blebs in the posterior of the ellipsoid body. It branches in the median protocerebrum.</t>
        </is>
      </c>
      <c r="E854" t="inlineStr">
        <is>
          <t>Hanesch et al., 1989, Cell Tissue Res. 257(2): 343--366 (flybase.org/reports/FBrf0049409)</t>
        </is>
      </c>
      <c r="F854" t="inlineStr"/>
      <c r="G854" t="inlineStr"/>
      <c r="H854" t="inlineStr"/>
    </row>
    <row r="855">
      <c r="A855">
        <f>HYPERLINK("https://www.ebi.ac.uk/ols/ontologies/fbbt/terms?iri=http://purl.obolibrary.org/obo/FBbt_00003655","FBbt:00003655")</f>
        <v/>
      </c>
      <c r="B855" t="inlineStr">
        <is>
          <t>extrinsic ring neuron ExR1</t>
        </is>
      </c>
      <c r="C855" t="inlineStr">
        <is>
          <t>ExR1</t>
        </is>
      </c>
      <c r="D855" t="inlineStr">
        <is>
          <t>Extrinsic ring neuron with a large soma located in the pars intercerebralis. It projects ventrally and ipsilaterally, arborizing in the superior medial protocerebrum (smpr), the upper fan-shaped body and lateral accessory lobes (ventral bodies). Its main projection then encircles the ellipsoid body and sends multiple evenly spaced projections that arborize in an anterior ring corresponding to the arborization domain of R3 neurons. Arborizations of this neuron are spiny (Hanesch et al., 1989). They are presynaptic in the fan-shaped body and ellipsoid body and postsynaptic in the lateral accessory lobes and smpr (Armstrong and Young, 2010).</t>
        </is>
      </c>
      <c r="E855" t="inlineStr">
        <is>
          <t>Hanesch et al., 1989, Cell Tissue Res. 257(2): 343--366 (flybase.org/reports/FBrf0049409); Young and Armstrong, 2010, J. Comp. Neurol. 518(9): 1500--1524 (flybase.org/reports/FBrf0210154)</t>
        </is>
      </c>
      <c r="F855" t="inlineStr"/>
      <c r="G855" t="inlineStr"/>
      <c r="H855" t="inlineStr"/>
    </row>
    <row r="856">
      <c r="A856">
        <f>HYPERLINK("https://www.ebi.ac.uk/ols/ontologies/fbbt/terms?iri=http://purl.obolibrary.org/obo/FBbt_00003658","FBbt:00003658")</f>
        <v/>
      </c>
      <c r="B856" t="inlineStr">
        <is>
          <t>median fan-shaped neuron Fm</t>
        </is>
      </c>
      <c r="C856" t="inlineStr">
        <is>
          <t>Fm neuron</t>
        </is>
      </c>
      <c r="D856" t="inlineStr">
        <is>
          <t>Fan-shaped neuron that projects through the ellipsoid body canal via the median bundle to arborize with bleb-like terminals in the second layer of the fan-shaped body.</t>
        </is>
      </c>
      <c r="E856" t="inlineStr">
        <is>
          <t>Hanesch et al., 1989, Cell Tissue Res. 257(2): 343--366 (flybase.org/reports/FBrf0049409)</t>
        </is>
      </c>
      <c r="F856" t="inlineStr"/>
      <c r="G856" t="inlineStr"/>
      <c r="H856" t="inlineStr"/>
    </row>
    <row r="857">
      <c r="A857">
        <f>HYPERLINK("https://www.ebi.ac.uk/ols/ontologies/fbbt/terms?iri=http://purl.obolibrary.org/obo/FBbt_00007529","FBbt:00007529")</f>
        <v/>
      </c>
      <c r="B857" t="inlineStr">
        <is>
          <t>lateral fan-shaped neuron Fl1</t>
        </is>
      </c>
      <c r="C857" t="inlineStr">
        <is>
          <t>Fl1</t>
        </is>
      </c>
      <c r="D857" t="inlineStr">
        <is>
          <t>Lateral fan-shaped neuron that sends a thin branch into the lateral accessory lobe (ventral body) and innervates both noduli, as well as the fan-shaped body.</t>
        </is>
      </c>
      <c r="E857" t="inlineStr">
        <is>
          <t>Hanesch et al., 1989, Cell Tissue Res. 257(2): 343--366 (flybase.org/reports/FBrf0049409); Young and Armstrong, 2010, J. Comp. Neurol. 518(9): 1500--1524 (flybase.org/reports/FBrf0210154)</t>
        </is>
      </c>
      <c r="F857" t="inlineStr"/>
      <c r="G857" t="inlineStr"/>
      <c r="H857" t="inlineStr"/>
    </row>
    <row r="858">
      <c r="A858">
        <f>HYPERLINK("https://www.ebi.ac.uk/ols/ontologies/fbbt/terms?iri=http://purl.obolibrary.org/obo/FBbt_00003718","FBbt:00003718")</f>
        <v/>
      </c>
      <c r="B858" t="inlineStr">
        <is>
          <t>lamina monopolar neuron</t>
        </is>
      </c>
      <c r="C858" t="inlineStr">
        <is>
          <t>lamina monopolar cell; LMC; monopolar laminar cell</t>
        </is>
      </c>
      <c r="D858" t="inlineStr">
        <is>
          <t>A monopolar, intrinsic columnar neuron whose cell body lies in the cortex of the lamina and that has a single major projection that projects along a single lamina optic cartridge, crosses the first optic chiasm and terminates in the equivalent column of the medulla.</t>
        </is>
      </c>
      <c r="E858" t="inlineStr">
        <is>
          <t>Fischbach and Dittrich, 1989, Cell Tissue Res. 258(3): 441--475 (flybase.org/reports/FBrf0049410)</t>
        </is>
      </c>
      <c r="F858" t="inlineStr"/>
      <c r="G858" t="inlineStr"/>
      <c r="H858" t="inlineStr"/>
    </row>
    <row r="859">
      <c r="A859">
        <f>HYPERLINK("https://www.ebi.ac.uk/ols/ontologies/fbbt/terms?iri=http://purl.obolibrary.org/obo/FBbt_00007530","FBbt:00007530")</f>
        <v/>
      </c>
      <c r="B859" t="inlineStr">
        <is>
          <t>lateral fan-shaped neuron Fl2</t>
        </is>
      </c>
      <c r="C859" t="inlineStr">
        <is>
          <t>Fl2</t>
        </is>
      </c>
      <c r="D859" t="inlineStr">
        <is>
          <t>Lateral fan-shaped neuron with a domain of spiky fibers in the lateral accessory lobe (ventral body) and an arborization pattern in the fan-shaped body indicating separation into 8 segments (Hanesch et al., 1989).</t>
        </is>
      </c>
      <c r="E859" t="inlineStr">
        <is>
          <t>Hanesch et al., 1989, Cell Tissue Res. 257(2): 343--366 (flybase.org/reports/FBrf0049409); Young and Armstrong, 2010, J. Comp. Neurol. 518(9): 1500--1524 (flybase.org/reports/FBrf0210154)</t>
        </is>
      </c>
      <c r="F859" t="inlineStr"/>
      <c r="G859" t="inlineStr"/>
      <c r="H859" t="inlineStr"/>
    </row>
    <row r="860">
      <c r="A860">
        <f>HYPERLINK("https://www.ebi.ac.uk/ols/ontologies/fbbt/terms?iri=http://purl.obolibrary.org/obo/FBbt_00007531","FBbt:00007531")</f>
        <v/>
      </c>
      <c r="B860" t="inlineStr">
        <is>
          <t>lateral fan-shaped neuron Fl3</t>
        </is>
      </c>
      <c r="C860" t="inlineStr">
        <is>
          <t>Fl3</t>
        </is>
      </c>
      <c r="D860" t="inlineStr">
        <is>
          <t>Lateral fan-shaped neuron that has a regular branching pattern in the fan-shaped body and dense arborizations filling the whole lateral accessory lobe (ventral body) (Hanesch et al., 1989).</t>
        </is>
      </c>
      <c r="E860" t="inlineStr">
        <is>
          <t>Hanesch et al., 1989, Cell Tissue Res. 257(2): 343--366 (flybase.org/reports/FBrf0049409); Young and Armstrong, 2010, J. Comp. Neurol. 518(9): 1500--1524 (flybase.org/reports/FBrf0210154)</t>
        </is>
      </c>
      <c r="F860" t="inlineStr"/>
      <c r="G860" t="inlineStr"/>
      <c r="H860" t="inlineStr"/>
    </row>
    <row r="861">
      <c r="A861">
        <f>HYPERLINK("https://www.ebi.ac.uk/ols/ontologies/fbbt/terms?iri=http://purl.obolibrary.org/obo/FBbt_00007532","FBbt:00007532")</f>
        <v/>
      </c>
      <c r="B861" t="inlineStr">
        <is>
          <t>lateral fan-shaped neuron Fl4</t>
        </is>
      </c>
      <c r="C861" t="inlineStr">
        <is>
          <t>Fl4</t>
        </is>
      </c>
      <c r="D861" t="inlineStr">
        <is>
          <t>Lateral fan-shaped neuron that has a slight clustering of terminals within the fan-shaped body with spiny branches entering one bulb (lateral triangle) (Hanesch et al., 1989).</t>
        </is>
      </c>
      <c r="E861" t="inlineStr">
        <is>
          <t>Hanesch et al., 1989, Cell Tissue Res. 257(2): 343--366 (flybase.org/reports/FBrf0049409); Young and Armstrong, 2010, J. Comp. Neurol. 518(9): 1500--1524 (flybase.org/reports/FBrf0210154)</t>
        </is>
      </c>
      <c r="F861" t="inlineStr"/>
      <c r="G861" t="inlineStr"/>
      <c r="H861" t="inlineStr"/>
    </row>
    <row r="862">
      <c r="A862">
        <f>HYPERLINK("https://www.ebi.ac.uk/ols/ontologies/fbbt/terms?iri=http://purl.obolibrary.org/obo/FBbt_00007533","FBbt:00007533")</f>
        <v/>
      </c>
      <c r="B862" t="inlineStr">
        <is>
          <t>lateral fan-shaped neuron FE1</t>
        </is>
      </c>
      <c r="C862" t="inlineStr">
        <is>
          <t>None</t>
        </is>
      </c>
      <c r="D862" t="inlineStr">
        <is>
          <t>Lateral fan-shaped neuron that connects the fan-shaped body and the ellipsoid body.</t>
        </is>
      </c>
      <c r="E862" t="inlineStr">
        <is>
          <t>Young and Armstrong, 2010, J. Comp. Neurol. 518(9): 1500--1524 (flybase.org/reports/FBrf0210154)</t>
        </is>
      </c>
      <c r="F862" t="inlineStr"/>
      <c r="G862" t="inlineStr"/>
      <c r="H862" t="inlineStr"/>
    </row>
    <row r="863">
      <c r="A863">
        <f>HYPERLINK("https://www.ebi.ac.uk/ols/ontologies/fbbt/terms?iri=http://purl.obolibrary.org/obo/FBbt_00007534","FBbt:00007534")</f>
        <v/>
      </c>
      <c r="B863" t="inlineStr">
        <is>
          <t>lateral fan-shaped neuron ExFl1</t>
        </is>
      </c>
      <c r="C863" t="inlineStr">
        <is>
          <t>ExFl1</t>
        </is>
      </c>
      <c r="D863" t="inlineStr">
        <is>
          <t>Extrinsic lateral fan-shaped neuron that projects posteriorly, arborizing in the middle inferior medial protocerebrum and lateral accessory lobe (ventral body), before projecting across the midline to circle around the contralateral side of the ellipsoid body, and innervates the fan-shaped body. Innervation of the lateral accessory lobes is presynaptic, whilst that of the fan-shaped body is postsynaptic. The cell bodies of neurons in this class cluster in the cortex dorsal to the antennal lobes.</t>
        </is>
      </c>
      <c r="E863" t="inlineStr">
        <is>
          <t>Young and Armstrong, 2010, J. Comp. Neurol. 518(9): 1500--1524 (flybase.org/reports/FBrf0210154)</t>
        </is>
      </c>
      <c r="F863" t="inlineStr"/>
      <c r="G863" t="inlineStr"/>
      <c r="H863" t="inlineStr"/>
    </row>
    <row r="864">
      <c r="A864">
        <f>HYPERLINK("https://www.ebi.ac.uk/ols/ontologies/fbbt/terms?iri=http://purl.obolibrary.org/obo/FBbt_00007535","FBbt:00007535")</f>
        <v/>
      </c>
      <c r="B864" t="inlineStr">
        <is>
          <t>lateral fan-shaped neuron ExFl2</t>
        </is>
      </c>
      <c r="C864" t="inlineStr">
        <is>
          <t>lateral fan-shaped neuron Fl6; Fl6; ExFl2</t>
        </is>
      </c>
      <c r="D864" t="inlineStr">
        <is>
          <t>Extrinsic lateral fan-shaped neuron that projects dorso-anteriorly to the posterior superior medial protocerebrum where it forms postsynaptic arborizations prior to forming presynaptic arborizations in the fan-shaped body. The cell bodies of these neurons lie in a cluster lateral to the mushroom body calyx. Arborization in the fan-shaped body spans a whole layer, but within that layer boundaries split the arborization into 16 segments.</t>
        </is>
      </c>
      <c r="E864" t="inlineStr">
        <is>
          <t>Young and Armstrong, 2010, J. Comp. Neurol. 518(9): 1500--1524 (flybase.org/reports/FBrf0210154)</t>
        </is>
      </c>
      <c r="F864" t="inlineStr"/>
      <c r="G864" t="inlineStr"/>
      <c r="H864" t="inlineStr"/>
    </row>
    <row r="865">
      <c r="A865">
        <f>HYPERLINK("https://www.ebi.ac.uk/ols/ontologies/fbbt/terms?iri=http://purl.obolibrary.org/obo/FBbt_00110081","FBbt:00110081")</f>
        <v/>
      </c>
      <c r="B865" t="inlineStr">
        <is>
          <t>transmedullary Y neuron ChaTmYnew1</t>
        </is>
      </c>
      <c r="C865" t="inlineStr">
        <is>
          <t>TmYnew1; ChaTmYnew1</t>
        </is>
      </c>
      <c r="D865" t="inlineStr">
        <is>
          <t>Transmedullary Y neuron that terminates in lobula layers 2, 3 and 4 and layer 1 of lobula plate. It displays arborizations in medulla layers M4 to M9. It is a cholinergic neuron (Varija Raghu et al., 2011).</t>
        </is>
      </c>
      <c r="E865" t="inlineStr">
        <is>
          <t>Varija Raghu et al., 2011, J. Comp. Neurol. 519(1): 162--176 (flybase.org/reports/FBrf0212356)</t>
        </is>
      </c>
      <c r="F865" t="inlineStr"/>
      <c r="G865" t="inlineStr"/>
      <c r="H865" t="inlineStr"/>
    </row>
    <row r="866">
      <c r="A866">
        <f>HYPERLINK("https://www.ebi.ac.uk/ols/ontologies/fbbt/terms?iri=http://purl.obolibrary.org/obo/FBbt_00111196","FBbt:00111196")</f>
        <v/>
      </c>
      <c r="B866" t="inlineStr">
        <is>
          <t>adult fruitless pSP3 neuron</t>
        </is>
      </c>
      <c r="C866" t="inlineStr">
        <is>
          <t>fru-P neuron; pSP3 neuron</t>
        </is>
      </c>
      <c r="D866" t="inlineStr">
        <is>
          <t>Any neuron (FBbt:00005106) that is part of some adult fruitless pSP3 lineage clone (FBbt:00111195).</t>
        </is>
      </c>
      <c r="E866" t="inlineStr">
        <is>
          <t>Yu et al., 2010, Curr. Biol. 20(18): 1602--1614 (flybase.org/reports/FBrf0211884)</t>
        </is>
      </c>
      <c r="F866" t="inlineStr"/>
      <c r="G866" t="inlineStr"/>
      <c r="H866" t="inlineStr"/>
    </row>
    <row r="867">
      <c r="A867">
        <f>HYPERLINK("https://www.ebi.ac.uk/ols/ontologies/fbbt/terms?iri=http://purl.obolibrary.org/obo/FBbt_00003911","FBbt:00003911")</f>
        <v/>
      </c>
      <c r="B867" t="inlineStr">
        <is>
          <t>Y neuron</t>
        </is>
      </c>
      <c r="C867" t="inlineStr">
        <is>
          <t>Y; Y cell</t>
        </is>
      </c>
      <c r="D867" t="inlineStr">
        <is>
          <t>Intrinsic columnar neuron of the optic lobe that has a cell body in the cortex of the lobula plate and that arborizes in the lobula plate before bifurcating in the second optic chiasm, with one branch innervating the lobula and the other the proximal medulla.</t>
        </is>
      </c>
      <c r="E867" t="inlineStr">
        <is>
          <t>Fischbach and Dittrich, 1989, Cell Tissue Res. 258(3): 441--475 (flybase.org/reports/FBrf0049410)</t>
        </is>
      </c>
      <c r="F867" t="inlineStr"/>
      <c r="G867" t="inlineStr"/>
      <c r="H867" t="inlineStr"/>
    </row>
    <row r="868">
      <c r="A868">
        <f>HYPERLINK("https://www.ebi.ac.uk/ols/ontologies/fbbt/terms?iri=http://purl.obolibrary.org/obo/FBbt_00003788","FBbt:00003788")</f>
        <v/>
      </c>
      <c r="B868" t="inlineStr">
        <is>
          <t>transmedullary neuron</t>
        </is>
      </c>
      <c r="C868" t="inlineStr">
        <is>
          <t>Tm neuron</t>
        </is>
      </c>
      <c r="D868" t="inlineStr">
        <is>
          <t>An intrinsic columnar neuron of the optic lobe whose cell body lies in the distal cortex of the medulla and that projects through the medulla and optic chiasm into the lobula. All neurons arborize in the lobula and most, but not all, in the medulla (Fischbach and Dittrich, 1989).</t>
        </is>
      </c>
      <c r="E868" t="inlineStr">
        <is>
          <t>Fischbach and Dittrich, 1989, Cell Tissue Res. 258(3): 441--475 (flybase.org/reports/FBrf0049410); Morante and Desplan, 2008, Curr. Biol. 18(8): 553--565 (flybase.org/reports/FBrf0204652)</t>
        </is>
      </c>
      <c r="F868" t="inlineStr"/>
      <c r="G868" t="inlineStr"/>
      <c r="H868" t="inlineStr"/>
    </row>
    <row r="869">
      <c r="A869">
        <f>HYPERLINK("https://www.ebi.ac.uk/ols/ontologies/fbbt/terms?iri=http://purl.obolibrary.org/obo/FBbt_00003988","FBbt:00003988")</f>
        <v/>
      </c>
      <c r="B869" t="inlineStr">
        <is>
          <t>unilateral intrinsic neuron</t>
        </is>
      </c>
      <c r="C869" t="inlineStr">
        <is>
          <t>unilateral local interneuron; ipsilateral local interneuron</t>
        </is>
      </c>
      <c r="D869" t="inlineStr">
        <is>
          <t>An intrinsic neuron that does not cross the midline.</t>
        </is>
      </c>
      <c r="E869" t="inlineStr"/>
      <c r="F869" t="inlineStr"/>
      <c r="G869" t="inlineStr"/>
      <c r="H869" t="inlineStr"/>
    </row>
    <row r="870">
      <c r="A870">
        <f>HYPERLINK("https://www.ebi.ac.uk/ols/ontologies/fbbt/terms?iri=http://purl.obolibrary.org/obo/FBbt_00100524","FBbt:00100524")</f>
        <v/>
      </c>
      <c r="B870" t="inlineStr">
        <is>
          <t>adult proximal satellite glial cell</t>
        </is>
      </c>
      <c r="C870" t="inlineStr">
        <is>
          <t>proximal glial cell; interface glial cell</t>
        </is>
      </c>
      <c r="D870" t="inlineStr">
        <is>
          <t>Satellite glial cell of the adult optic lobe. It is located in a layer between the distal satellite glial layer and the epithelial glia. These glial cells invest the photoreceptor axon bundles and the necks of monopolar neurons. On their distal surface, they cap the neuronal cell bodies, on their proximal surface, they send protrusions into the neuropil. There is approximately one proximal satellite glial cell for every 2-3 groups of monopolar cell bodies.</t>
        </is>
      </c>
      <c r="E870" t="inlineStr">
        <is>
          <t>Edwards and Meinertzhagen, 2010, Prog. Neurobiol. 90(4): 471--497 (flybase.org/reports/FBrf0210316); Edwards et al., 2012, J. Comp. Neurol. 520(10): 2067--2085 (flybase.org/reports/FBrf0218414); Kremer et al., 2017, Glia 65(4): 606--638 (flybase.org/reports/FBrf0234767)</t>
        </is>
      </c>
      <c r="F870" t="inlineStr"/>
      <c r="G870" t="inlineStr"/>
      <c r="H870" t="inlineStr"/>
    </row>
    <row r="871">
      <c r="A871">
        <f>HYPERLINK("https://www.ebi.ac.uk/ols/ontologies/fbbt/terms?iri=http://purl.obolibrary.org/obo/FBbt_00100523","FBbt:00100523")</f>
        <v/>
      </c>
      <c r="B871" t="inlineStr">
        <is>
          <t>distal satellite glial cell</t>
        </is>
      </c>
      <c r="C871" t="inlineStr">
        <is>
          <t>rind satellite glial cell; adult distal satellite glial cell</t>
        </is>
      </c>
      <c r="D871" t="inlineStr">
        <is>
          <t>Satellite glial cell of the adult optic lobe. It lies in a glial layer beneath the pseudocartridge glial cell layer, and above the proximal satellite glial cell layer. It ensheathes cell bodies of monopolar neurons of the lamina cortex.</t>
        </is>
      </c>
      <c r="E871" t="inlineStr">
        <is>
          <t>Edwards and Meinertzhagen, 2010, Prog. Neurobiol. 90(4): 471--497 (flybase.org/reports/FBrf0210316); Kremer et al., 2017, Glia 65(4): 606--638 (flybase.org/reports/FBrf0234767)</t>
        </is>
      </c>
      <c r="F871" t="inlineStr"/>
      <c r="G871" t="inlineStr"/>
      <c r="H871" t="inlineStr"/>
    </row>
    <row r="872">
      <c r="A872">
        <f>HYPERLINK("https://www.ebi.ac.uk/ols/ontologies/fbbt/terms?iri=http://purl.obolibrary.org/obo/FBbt_00048043","FBbt:00048043")</f>
        <v/>
      </c>
      <c r="B872" t="inlineStr">
        <is>
          <t>lateral fan-shaped neuron Fl5</t>
        </is>
      </c>
      <c r="C872" t="inlineStr">
        <is>
          <t>None</t>
        </is>
      </c>
      <c r="D872" t="inlineStr">
        <is>
          <t>Lateral fan-shaped neuron with densely-packed spiny arborizations in the lateral accessory lobe (ventral body) and the adjacent ventro-median protocerebrum. In the fan-shaped body, there is no regularity of branching. Contralaterally, it has a domain of blebbed branches in the median protocerebrum (Hanesch et al., 1989).</t>
        </is>
      </c>
      <c r="E872" t="inlineStr">
        <is>
          <t>Hanesch et al., 1989, Cell Tissue Res. 257(2): 343--366 (flybase.org/reports/FBrf0049409)</t>
        </is>
      </c>
      <c r="F872" t="inlineStr"/>
      <c r="G872" t="inlineStr"/>
      <c r="H872" t="inlineStr"/>
    </row>
    <row r="873">
      <c r="A873">
        <f>HYPERLINK("https://www.ebi.ac.uk/ols/ontologies/fbbt/terms?iri=http://purl.obolibrary.org/obo/FBbt_00110076","FBbt:00110076")</f>
        <v/>
      </c>
      <c r="B873" t="inlineStr">
        <is>
          <t>transmedullary Y neuron TmY12</t>
        </is>
      </c>
      <c r="C873" t="inlineStr">
        <is>
          <t>TmY12</t>
        </is>
      </c>
      <c r="D873" t="inlineStr">
        <is>
          <t>Transmedullary Y neuron that terminates in lobula layer 3 and lobula plate layer 1. It displays arborizations in medulla layers M2, M3 and M9. It is a cholinergic neuron (Varija Raghu et al., 2011).</t>
        </is>
      </c>
      <c r="E873" t="inlineStr">
        <is>
          <t>Varija Raghu et al., 2011, J. Comp. Neurol. 519(1): 162--176 (flybase.org/reports/FBrf0212356)</t>
        </is>
      </c>
      <c r="F873" t="inlineStr"/>
      <c r="G873" t="inlineStr"/>
      <c r="H873" t="inlineStr"/>
    </row>
    <row r="874">
      <c r="A874">
        <f>HYPERLINK("https://www.ebi.ac.uk/ols/ontologies/fbbt/terms?iri=http://purl.obolibrary.org/obo/FBbt_00110075","FBbt:00110075")</f>
        <v/>
      </c>
      <c r="B874" t="inlineStr">
        <is>
          <t>transmedullary neuron Tm4a</t>
        </is>
      </c>
      <c r="C874" t="inlineStr">
        <is>
          <t>Tm4a</t>
        </is>
      </c>
      <c r="D874" t="inlineStr">
        <is>
          <t>Transmedullary neuron that terminates in lobula layer 4. It also has arborizations in medulla layers M2, M3, M4 and M9. It is a cholinergic neuron (Varija Raghu et al., 2011).</t>
        </is>
      </c>
      <c r="E874" t="inlineStr">
        <is>
          <t>Varija Raghu et al., 2011, J. Comp. Neurol. 519(1): 162--176 (flybase.org/reports/FBrf0212356)</t>
        </is>
      </c>
      <c r="F874" t="inlineStr"/>
      <c r="G874" t="inlineStr"/>
      <c r="H874" t="inlineStr"/>
    </row>
    <row r="875">
      <c r="A875">
        <f>HYPERLINK("https://www.ebi.ac.uk/ols/ontologies/fbbt/terms?iri=http://purl.obolibrary.org/obo/FBbt_00007527","FBbt:00007527")</f>
        <v/>
      </c>
      <c r="B875" t="inlineStr">
        <is>
          <t>pontine neuron P1a</t>
        </is>
      </c>
      <c r="C875" t="inlineStr">
        <is>
          <t>None</t>
        </is>
      </c>
      <c r="D875" t="inlineStr">
        <is>
          <t>Pontine neuron P1 that arborizes in layer 3 of the fan-shaped body. On entering the fan-shaped body, its projection bifurcates, one branch running anteriorly through one segment and arborizing there with spines, the other running along the caudal surface across the midline and sending blebbed endings into a segment that is separated from the ipsilateral segment by half the width of the fan-shaped body.</t>
        </is>
      </c>
      <c r="E875" t="inlineStr">
        <is>
          <t>Hanesch et al., 1989, Cell Tissue Res. 257(2): 343--366 (flybase.org/reports/FBrf0049409); Young and Armstrong, 2010, J. Comp. Neurol. 518(9): 1500--1524 (flybase.org/reports/FBrf0210154)</t>
        </is>
      </c>
      <c r="F875" t="inlineStr"/>
      <c r="G875" t="inlineStr"/>
      <c r="H875" t="inlineStr"/>
    </row>
    <row r="876">
      <c r="A876">
        <f>HYPERLINK("https://www.ebi.ac.uk/ols/ontologies/fbbt/terms?iri=http://purl.obolibrary.org/obo/FBbt_00048044","FBbt:00048044")</f>
        <v/>
      </c>
      <c r="B876" t="inlineStr">
        <is>
          <t>lateral fan-shaped neuron Fl7</t>
        </is>
      </c>
      <c r="C876" t="inlineStr">
        <is>
          <t>None</t>
        </is>
      </c>
      <c r="D876" t="inlineStr">
        <is>
          <t>Lateral fan-shaped neuron that has blebbed terminals in the dorsal part of the fan-shaped body. Its axon fasciculates with the anterior dorsal commissure (Hanesch et al., 1989).</t>
        </is>
      </c>
      <c r="E876" t="inlineStr">
        <is>
          <t>Hanesch et al., 1989, Cell Tissue Res. 257(2): 343--366 (flybase.org/reports/FBrf0049409)</t>
        </is>
      </c>
      <c r="F876" t="inlineStr"/>
      <c r="G876" t="inlineStr"/>
      <c r="H876" t="inlineStr"/>
    </row>
    <row r="877">
      <c r="A877">
        <f>HYPERLINK("https://www.ebi.ac.uk/ols/ontologies/fbbt/terms?iri=http://purl.obolibrary.org/obo/FBbt_00007528","FBbt:00007528")</f>
        <v/>
      </c>
      <c r="B877" t="inlineStr">
        <is>
          <t>pontine neuron P1b</t>
        </is>
      </c>
      <c r="C877" t="inlineStr">
        <is>
          <t>None</t>
        </is>
      </c>
      <c r="D877" t="inlineStr">
        <is>
          <t>Pontine neuron P1 (i.e. one that links contralateral segments of the fan-shaped body) that arborizes in several layers of the dorsal fan-shaped body.</t>
        </is>
      </c>
      <c r="E877" t="inlineStr">
        <is>
          <t>Young and Armstrong, 2010, J. Comp. Neurol. 518(9): 1525--1541 (flybase.org/reports/FBrf0210156)</t>
        </is>
      </c>
      <c r="F877" t="inlineStr"/>
      <c r="G877" t="inlineStr"/>
      <c r="H877" t="inlineStr"/>
    </row>
    <row r="878">
      <c r="A878">
        <f>HYPERLINK("https://www.ebi.ac.uk/ols/ontologies/fbbt/terms?iri=http://purl.obolibrary.org/obo/FBbt_00003745","FBbt:00003745")</f>
        <v/>
      </c>
      <c r="B878" t="inlineStr">
        <is>
          <t>lamina tangential neuron</t>
        </is>
      </c>
      <c r="C878" t="inlineStr">
        <is>
          <t>Lat</t>
        </is>
      </c>
      <c r="D878" t="inlineStr">
        <is>
          <t>Tangential neuron of the optic lobe that projects and arborizes along the plane of one or more layers of the lamina.</t>
        </is>
      </c>
      <c r="E878" t="inlineStr">
        <is>
          <t>Fischbach and Dittrich, 1989, Cell Tissue Res. 258(3): 441--475 (flybase.org/reports/FBrf0049410)</t>
        </is>
      </c>
      <c r="F878" t="inlineStr"/>
      <c r="G878" t="inlineStr"/>
      <c r="H878" t="inlineStr"/>
    </row>
    <row r="879">
      <c r="A879">
        <f>HYPERLINK("https://www.ebi.ac.uk/ols/ontologies/fbbt/terms?iri=http://purl.obolibrary.org/obo/FBbt_00110079","FBbt:00110079")</f>
        <v/>
      </c>
      <c r="B879" t="inlineStr">
        <is>
          <t>transmedullary neuron ChaTmnew3</t>
        </is>
      </c>
      <c r="C879" t="inlineStr">
        <is>
          <t>Tmnew3; ChaTmnew3</t>
        </is>
      </c>
      <c r="D879" t="inlineStr">
        <is>
          <t>Transmedullary neuron that terminates in lobula layer 1. It also has arborizations in medulla layers M4, M5, M7, M8 and M9. It is a cholinergic neuron (Varija Raghu et al., 2011).</t>
        </is>
      </c>
      <c r="E879" t="inlineStr">
        <is>
          <t>Varija Raghu et al., 2011, J. Comp. Neurol. 519(1): 162--176 (flybase.org/reports/FBrf0212356)</t>
        </is>
      </c>
      <c r="F879" t="inlineStr"/>
      <c r="G879" t="inlineStr"/>
      <c r="H879" t="inlineStr"/>
    </row>
    <row r="880">
      <c r="A880">
        <f>HYPERLINK("https://www.ebi.ac.uk/ols/ontologies/fbbt/terms?iri=http://purl.obolibrary.org/obo/FBbt_00110077","FBbt:00110077")</f>
        <v/>
      </c>
      <c r="B880" t="inlineStr">
        <is>
          <t>transmedullary neuron ChaTmnew1</t>
        </is>
      </c>
      <c r="C880" t="inlineStr">
        <is>
          <t>Tmnew1; ChaTmnew1</t>
        </is>
      </c>
      <c r="D880" t="inlineStr">
        <is>
          <t>Transmedullary neuron that terminates in lobula layers 5 and 6. It also has arborizations in medulla layers M4, M5, M6 and M7. It is a cholinergic neuron (Varija Raghu et al., 2011).</t>
        </is>
      </c>
      <c r="E880" t="inlineStr">
        <is>
          <t>Varija Raghu et al., 2011, J. Comp. Neurol. 519(1): 162--176 (flybase.org/reports/FBrf0212356)</t>
        </is>
      </c>
      <c r="F880" t="inlineStr"/>
      <c r="G880" t="inlineStr"/>
      <c r="H880" t="inlineStr"/>
    </row>
    <row r="881">
      <c r="A881">
        <f>HYPERLINK("https://www.ebi.ac.uk/ols/ontologies/fbbt/terms?iri=http://purl.obolibrary.org/obo/FBbt_00110078","FBbt:00110078")</f>
        <v/>
      </c>
      <c r="B881" t="inlineStr">
        <is>
          <t>transmedullary neuron ChaTmnew2</t>
        </is>
      </c>
      <c r="C881" t="inlineStr">
        <is>
          <t>Tmnew2; ChaTmnew2</t>
        </is>
      </c>
      <c r="D881" t="inlineStr">
        <is>
          <t>Transmedullary neuron that terminates in lobula layer 5. It also has arborizations in medulla layers M5, M6, M7, M8 and M9. It is a cholinergic neuron (Varija Raghu et al., 2011).</t>
        </is>
      </c>
      <c r="E881" t="inlineStr">
        <is>
          <t>Varija Raghu et al., 2011, J. Comp. Neurol. 519(1): 162--176 (flybase.org/reports/FBrf0212356)</t>
        </is>
      </c>
      <c r="F881" t="inlineStr"/>
      <c r="G881" t="inlineStr"/>
      <c r="H881" t="inlineStr"/>
    </row>
    <row r="882">
      <c r="A882">
        <f>HYPERLINK("https://www.ebi.ac.uk/ols/ontologies/fbbt/terms?iri=http://purl.obolibrary.org/obo/FBbt_00111403","FBbt:00111403")</f>
        <v/>
      </c>
      <c r="B882" t="inlineStr">
        <is>
          <t>PB slice 9-FB-NO subunit 3 anterior domain neuron</t>
        </is>
      </c>
      <c r="C882" t="inlineStr">
        <is>
          <t>PBL8&gt;FBL4e-NoR3</t>
        </is>
      </c>
      <c r="D882" t="inlineStr">
        <is>
          <t>Small field neuron of the central complex with dendritic arbors in the protocerebral bridge slice 9 and axon terminals in the ipsilateral fan-shaped body segment pair W (column 4) and layer 2 (layer e) and the contralateral anterior domain of nodulus subunit III.</t>
        </is>
      </c>
      <c r="E882" t="inlineStr">
        <is>
          <t>Lin et al., 2013, Cell Rep. 3(5): 1739--1753 (flybase.org/reports/FBrf0221742)</t>
        </is>
      </c>
      <c r="F882" t="inlineStr"/>
      <c r="G882" t="inlineStr"/>
      <c r="H882" t="inlineStr"/>
    </row>
    <row r="883">
      <c r="A883">
        <f>HYPERLINK("https://www.ebi.ac.uk/ols/ontologies/fbbt/terms?iri=http://purl.obolibrary.org/obo/FBbt_00111401","FBbt:00111401")</f>
        <v/>
      </c>
      <c r="B883" t="inlineStr">
        <is>
          <t>PB slice 7-FB-NO subunit 3 anterior domain neuron</t>
        </is>
      </c>
      <c r="C883" t="inlineStr">
        <is>
          <t>PBL6&gt;FBL2e-NoR3</t>
        </is>
      </c>
      <c r="D883" t="inlineStr">
        <is>
          <t>Small field neuron of the central complex with dendritic arbors in the protocerebral bridge slice 7 and axon terminals in the ipsilateral fan-shaped body segment pair Y (column 2) and layer 2 (layer e) and the contralateral anterior domain of nodulus subunit III.</t>
        </is>
      </c>
      <c r="E883" t="inlineStr">
        <is>
          <t>Lin et al., 2013, Cell Rep. 3(5): 1739--1753 (flybase.org/reports/FBrf0221742)</t>
        </is>
      </c>
      <c r="F883" t="inlineStr"/>
      <c r="G883" t="inlineStr"/>
      <c r="H883" t="inlineStr"/>
    </row>
    <row r="884">
      <c r="A884">
        <f>HYPERLINK("https://www.ebi.ac.uk/ols/ontologies/fbbt/terms?iri=http://purl.obolibrary.org/obo/FBbt_00111402","FBbt:00111402")</f>
        <v/>
      </c>
      <c r="B884" t="inlineStr">
        <is>
          <t>PB slice 8-FB-NO subunit 3 anterior domain neuron</t>
        </is>
      </c>
      <c r="C884" t="inlineStr">
        <is>
          <t>PBL7&gt;FBL3e-NoR3; PBR7&gt;FBR3e-NoL3</t>
        </is>
      </c>
      <c r="D884" t="inlineStr">
        <is>
          <t>Small field neuron of the central complex with dendritic arbors in the protocerebral bridge slice 8 and axon terminals in the ipsilateral fan-shaped body segment pair X (column 3) and layer 2 (layer e) and the contralateral anterior domain of nodulus subunit III.</t>
        </is>
      </c>
      <c r="E884" t="inlineStr">
        <is>
          <t>Lin et al., 2013, Cell Rep. 3(5): 1739--1753 (flybase.org/reports/FBrf0221742)</t>
        </is>
      </c>
      <c r="F884" t="inlineStr"/>
      <c r="G884" t="inlineStr"/>
      <c r="H884" t="inlineStr"/>
    </row>
    <row r="885">
      <c r="A885">
        <f>HYPERLINK("https://www.ebi.ac.uk/ols/ontologies/fbbt/terms?iri=http://purl.obolibrary.org/obo/FBbt_00111400","FBbt:00111400")</f>
        <v/>
      </c>
      <c r="B885" t="inlineStr">
        <is>
          <t>PB slice 6-FB-NO subunit 3 anterior domain neuron</t>
        </is>
      </c>
      <c r="C885" t="inlineStr">
        <is>
          <t>PBR5&gt;FBL1e,R1e-NoL3</t>
        </is>
      </c>
      <c r="D885" t="inlineStr">
        <is>
          <t>Small field neuron of the central complex with dendritic arbors in the protocerebral bridge slice 6 and axon terminals in both fan-shaped body segment pair Z (column 1) and layer 2 (layer e) and the contralateral anterior domain of nodulus subunit III.</t>
        </is>
      </c>
      <c r="E885" t="inlineStr">
        <is>
          <t>Lin et al., 2013, Cell Rep. 3(5): 1739--1753 (flybase.org/reports/FBrf0221742)</t>
        </is>
      </c>
      <c r="F885" t="inlineStr"/>
      <c r="G885" t="inlineStr"/>
      <c r="H885" t="inlineStr"/>
    </row>
    <row r="886">
      <c r="A886">
        <f>HYPERLINK("https://www.ebi.ac.uk/ols/ontologies/fbbt/terms?iri=http://purl.obolibrary.org/obo/FBbt_00111407","FBbt:00111407")</f>
        <v/>
      </c>
      <c r="B886" t="inlineStr">
        <is>
          <t>PB slice 4-FB-NO subunit 3 posterior domain neuron</t>
        </is>
      </c>
      <c r="C886" t="inlineStr">
        <is>
          <t>PBR3&gt;FBL3f-NoL4; PBL3&gt;FBR3f-NoR4</t>
        </is>
      </c>
      <c r="D886" t="inlineStr">
        <is>
          <t>Small field neuron of the central complex with dendritic arbors in the protocerebral bridge slice 4 and axon terminals in the contralateral fan-shaped body segment pair X (column 3) and layer 1 (layer f) and the contralateral posterior domain of nodulus subunit III.</t>
        </is>
      </c>
      <c r="E886" t="inlineStr">
        <is>
          <t>Lin et al., 2013, Cell Rep. 3(5): 1739--1753 (flybase.org/reports/FBrf0221742)</t>
        </is>
      </c>
      <c r="F886" t="inlineStr"/>
      <c r="G886" t="inlineStr"/>
      <c r="H886" t="inlineStr"/>
    </row>
    <row r="887">
      <c r="A887">
        <f>HYPERLINK("https://www.ebi.ac.uk/ols/ontologies/fbbt/terms?iri=http://purl.obolibrary.org/obo/FBbt_00111406","FBbt:00111406")</f>
        <v/>
      </c>
      <c r="B887" t="inlineStr">
        <is>
          <t>PB slice 3-FB-NO subunit 3 posterior domain neuron</t>
        </is>
      </c>
      <c r="C887" t="inlineStr">
        <is>
          <t>PBR2&gt;FBL4f-NoL4; PBL2&gt;FBR4f-NoR4</t>
        </is>
      </c>
      <c r="D887" t="inlineStr">
        <is>
          <t>Small field neuron of the central complex with dendritic arbors in the protocerebral bridge slice 3 and axon terminals in the contralateral fan-shaped body segment pair W (column 4) and layer 1 (layer f) and the contralateral posterior domain of nodulus subunit III.</t>
        </is>
      </c>
      <c r="E887" t="inlineStr">
        <is>
          <t>Lin et al., 2013, Cell Rep. 3(5): 1739--1753 (flybase.org/reports/FBrf0221742)</t>
        </is>
      </c>
      <c r="F887" t="inlineStr"/>
      <c r="G887" t="inlineStr"/>
      <c r="H887" t="inlineStr"/>
    </row>
    <row r="888">
      <c r="A888">
        <f>HYPERLINK("https://www.ebi.ac.uk/ols/ontologies/fbbt/terms?iri=http://purl.obolibrary.org/obo/FBbt_00111405","FBbt:00111405")</f>
        <v/>
      </c>
      <c r="B888" t="inlineStr">
        <is>
          <t>PB slice 2-FB-NO subunit 3 posterior domain neuron</t>
        </is>
      </c>
      <c r="C888" t="inlineStr">
        <is>
          <t>PBL1&gt;FBR4f-NoR4</t>
        </is>
      </c>
      <c r="D888" t="inlineStr">
        <is>
          <t>Small field neuron of the central complex with dendritic arbors in the protocerebral bridge slice 2 and axon terminals in the contralateral fan-shaped body segment pair W (column 4) and layer 1 (layer f) and the contralateral posterior domain of nodulus subunit III.</t>
        </is>
      </c>
      <c r="E888" t="inlineStr">
        <is>
          <t>Lin et al., 2013, Cell Rep. 3(5): 1739--1753 (flybase.org/reports/FBrf0221742)</t>
        </is>
      </c>
      <c r="F888" t="inlineStr"/>
      <c r="G888" t="inlineStr"/>
      <c r="H888" t="inlineStr"/>
    </row>
    <row r="889">
      <c r="A889">
        <f>HYPERLINK("https://www.ebi.ac.uk/ols/ontologies/fbbt/terms?iri=http://purl.obolibrary.org/obo/FBbt_00111282","FBbt:00111282")</f>
        <v/>
      </c>
      <c r="B889" t="inlineStr">
        <is>
          <t>proximal medullary amacrine neuron Pm4</t>
        </is>
      </c>
      <c r="C889" t="inlineStr">
        <is>
          <t>Pm4</t>
        </is>
      </c>
      <c r="D889" t="inlineStr">
        <is>
          <t>Proximal medullary amacrine neuron that branches at the proximal surface of the medulla, in medulla layers M8 and M9. Its arbor covers around 11 columns. It occupies a central intracolumnar position. There are around 60 Pm4 neurons per hemisphere.</t>
        </is>
      </c>
      <c r="E889" t="inlineStr">
        <is>
          <t>Nern et al., 2015, Proc. Natl. Acad. Sci. U.S.A. 112(22): E2967--E2976 (flybase.org/reports/FBrf0228639)</t>
        </is>
      </c>
      <c r="F889" t="inlineStr"/>
      <c r="G889" t="inlineStr"/>
      <c r="H889" t="inlineStr"/>
    </row>
    <row r="890">
      <c r="A890">
        <f>HYPERLINK("https://www.ebi.ac.uk/ols/ontologies/fbbt/terms?iri=http://purl.obolibrary.org/obo/FBbt_00003767","FBbt:00003767")</f>
        <v/>
      </c>
      <c r="B890" t="inlineStr">
        <is>
          <t>distal medullary amacrine neuron</t>
        </is>
      </c>
      <c r="C890" t="inlineStr">
        <is>
          <t>Dm</t>
        </is>
      </c>
      <c r="D890" t="inlineStr">
        <is>
          <t>An amacrine neuron that is intrinsic to the medulla, whose soma is located in the cortex of the medulla and that branches and arborizes in the distal medulla. These neurons project through the distal surface of the medulla, to form wide (sometimes very wide) terminal arborizations mainly or completely restricted to a single layer of the medulla.</t>
        </is>
      </c>
      <c r="E890" t="inlineStr">
        <is>
          <t>Fischbach and Dittrich, 1989, Cell Tissue Res. 258(3): 441--475 (flybase.org/reports/FBrf0049410)</t>
        </is>
      </c>
      <c r="F890" t="inlineStr"/>
      <c r="G890" t="inlineStr"/>
      <c r="H890" t="inlineStr"/>
    </row>
    <row r="891">
      <c r="A891">
        <f>HYPERLINK("https://www.ebi.ac.uk/ols/ontologies/fbbt/terms?iri=http://purl.obolibrary.org/obo/FBbt_00110090","FBbt:00110090")</f>
        <v/>
      </c>
      <c r="B891" t="inlineStr">
        <is>
          <t>transmedullary neuron vGlutTmnew1</t>
        </is>
      </c>
      <c r="C891" t="inlineStr">
        <is>
          <t>vGlutTmnew1; Tmnew1</t>
        </is>
      </c>
      <c r="D891" t="inlineStr">
        <is>
          <t>Transmedullary neuron that terminates in lobula layers 2 and 3. It also has arborizations in medulla layers M2, M4, M5, M6 and M7. It is a glutamatergic neuron (Raghu and Borst, 2011).</t>
        </is>
      </c>
      <c r="E891" t="inlineStr">
        <is>
          <t>Raghu and Borst, 2011, PLoS ONE 6(5): e19472 (flybase.org/reports/FBrf0213690)</t>
        </is>
      </c>
      <c r="F891" t="inlineStr"/>
      <c r="G891" t="inlineStr"/>
      <c r="H891" t="inlineStr"/>
    </row>
    <row r="892">
      <c r="A892">
        <f>HYPERLINK("https://www.ebi.ac.uk/ols/ontologies/fbbt/terms?iri=http://purl.obolibrary.org/obo/FBbt_00004210","FBbt:00004210")</f>
        <v/>
      </c>
      <c r="B892" t="inlineStr">
        <is>
          <t>subretinal glial cell</t>
        </is>
      </c>
      <c r="C892" t="inlineStr">
        <is>
          <t>retinal basal glial cell; sub-retinal glial cell; fenestrated-layer glia</t>
        </is>
      </c>
      <c r="D892" t="inlineStr">
        <is>
          <t>Surface glial cell of the adult lamina located in one of the two most distal layers of glial cells of the optic lobe.</t>
        </is>
      </c>
      <c r="E892" t="inlineStr">
        <is>
          <t>Edwards and Meinertzhagen, 2010, Prog. Neurobiol. 90(4): 471--497 (flybase.org/reports/FBrf0210316)</t>
        </is>
      </c>
      <c r="F892" t="inlineStr"/>
      <c r="G892" t="inlineStr"/>
      <c r="H892" t="inlineStr"/>
    </row>
    <row r="893">
      <c r="A893">
        <f>HYPERLINK("https://www.ebi.ac.uk/ols/ontologies/fbbt/terms?iri=http://purl.obolibrary.org/obo/FBbt_00007537","FBbt:00007537")</f>
        <v/>
      </c>
      <c r="B893" t="inlineStr">
        <is>
          <t>ring neuron R4m</t>
        </is>
      </c>
      <c r="C893" t="inlineStr">
        <is>
          <t>R4m neuron</t>
        </is>
      </c>
      <c r="D893" t="inlineStr">
        <is>
          <t>A ring neuron R4 whose arborization in the ellipsoid body is largely restricted to the inner (medial) region of the ellipsoid body outer ring.</t>
        </is>
      </c>
      <c r="E893" t="inlineStr">
        <is>
          <t>Renn et al., 1999, J. Neurobiol. 41(2): 189--207 (flybase.org/reports/FBrf0111476); Young and Armstrong, 2010, J. Comp. Neurol. 518(9): 1500--1524 (flybase.org/reports/FBrf0210154)</t>
        </is>
      </c>
      <c r="F893" t="inlineStr"/>
      <c r="G893" t="inlineStr"/>
      <c r="H893" t="inlineStr"/>
    </row>
    <row r="894">
      <c r="A894">
        <f>HYPERLINK("https://www.ebi.ac.uk/ols/ontologies/fbbt/terms?iri=http://purl.obolibrary.org/obo/FBbt_00007538","FBbt:00007538")</f>
        <v/>
      </c>
      <c r="B894" t="inlineStr">
        <is>
          <t>ring neuron R4d</t>
        </is>
      </c>
      <c r="C894" t="inlineStr">
        <is>
          <t>R4d neuron</t>
        </is>
      </c>
      <c r="D894" t="inlineStr">
        <is>
          <t>A ring neuron R4 neuron with whose arborization in the ellipsoid body is largely restricted to the most outer (distal) ring of the ellipsoid body outer ring.</t>
        </is>
      </c>
      <c r="E894" t="inlineStr">
        <is>
          <t>Renn et al., 1999, J. Neurobiol. 41(2): 189--207 (flybase.org/reports/FBrf0111476); Young and Armstrong, 2010, J. Comp. Neurol. 518(9): 1500--1524 (flybase.org/reports/FBrf0210154)</t>
        </is>
      </c>
      <c r="F894" t="inlineStr"/>
      <c r="G894" t="inlineStr"/>
      <c r="H894" t="inlineStr"/>
    </row>
    <row r="895">
      <c r="A895">
        <f>HYPERLINK("https://www.ebi.ac.uk/ols/ontologies/fbbt/terms?iri=http://purl.obolibrary.org/obo/FBbt_00048131","FBbt:00048131")</f>
        <v/>
      </c>
      <c r="B895" t="inlineStr">
        <is>
          <t>vertical system-like neuron 3</t>
        </is>
      </c>
      <c r="C895" t="inlineStr">
        <is>
          <t>VSlike3</t>
        </is>
      </c>
      <c r="D895" t="inlineStr">
        <is>
          <t>Lobular plate tangential neuron that resembles vertical system neuron 3, with a dorsal extension to the border of lobula plate layers 1 and 2. Its ventral dendrite is slightly more medial than that of vertical system-like 2 (Boergens et al., 2018).</t>
        </is>
      </c>
      <c r="E895" t="inlineStr">
        <is>
          <t>Boergens et al., 2018, PLoS ONE 13(11): e0207828 (flybase.org/reports/FBrf0240805)</t>
        </is>
      </c>
      <c r="F895" t="inlineStr"/>
      <c r="G895" t="inlineStr"/>
      <c r="H895" t="inlineStr"/>
    </row>
    <row r="896">
      <c r="A896">
        <f>HYPERLINK("https://www.ebi.ac.uk/ols/ontologies/fbbt/terms?iri=http://purl.obolibrary.org/obo/FBbt_00048130","FBbt:00048130")</f>
        <v/>
      </c>
      <c r="B896" t="inlineStr">
        <is>
          <t>vertical system-like neuron 2</t>
        </is>
      </c>
      <c r="C896" t="inlineStr">
        <is>
          <t>VSlike2</t>
        </is>
      </c>
      <c r="D896" t="inlineStr">
        <is>
          <t>Lobular plate tangential neuron that resembles vertical system neuron 3, with a dorsal extension to the border of lobula plate layers 1 and 2. Its ventral dendrite is slightly more lateral than that of vertical system-like 3 (Boergens et al., 2018).</t>
        </is>
      </c>
      <c r="E896" t="inlineStr">
        <is>
          <t>Boergens et al., 2018, PLoS ONE 13(11): e0207828 (flybase.org/reports/FBrf0240805)</t>
        </is>
      </c>
      <c r="F896" t="inlineStr"/>
      <c r="G896" t="inlineStr"/>
      <c r="H896" t="inlineStr"/>
    </row>
    <row r="897">
      <c r="A897">
        <f>HYPERLINK("https://www.ebi.ac.uk/ols/ontologies/fbbt/terms?iri=http://purl.obolibrary.org/obo/FBbt_00007583","FBbt:00007583")</f>
        <v/>
      </c>
      <c r="B897" t="inlineStr">
        <is>
          <t>lobula plate element lpi</t>
        </is>
      </c>
      <c r="C897" t="inlineStr">
        <is>
          <t>lobular plate element; Lpi</t>
        </is>
      </c>
      <c r="D897" t="inlineStr">
        <is>
          <t>A lobula plate amacrine neuron that has a wide, bushy arborization with both bleb-type and fine terminals in lobula plate layers 3 and 4.</t>
        </is>
      </c>
      <c r="E897" t="inlineStr">
        <is>
          <t>Fischbach and Dittrich, 1989, Cell Tissue Res. 258(3): 441--475 (flybase.org/reports/FBrf0049410)</t>
        </is>
      </c>
      <c r="F897" t="inlineStr"/>
      <c r="G897" t="inlineStr"/>
      <c r="H897" t="inlineStr"/>
    </row>
    <row r="898">
      <c r="A898">
        <f>HYPERLINK("https://www.ebi.ac.uk/ols/ontologies/fbbt/terms?iri=http://purl.obolibrary.org/obo/FBbt_00110050","FBbt:00110050")</f>
        <v/>
      </c>
      <c r="B898" t="inlineStr">
        <is>
          <t>adult tritocerebral TC1 Tachykinin neuron</t>
        </is>
      </c>
      <c r="C898" t="inlineStr">
        <is>
          <t>tritocerebral neuron TC1; tritocerebrum tachykinin neuron</t>
        </is>
      </c>
      <c r="D898" t="inlineStr">
        <is>
          <t>Adult neuron that expresses Tachykinin (FBgn0037976), whose cell body is located in the tritocerebrum and which innervates, among other regions, the fan-shaped body. One cluster of around 16 cell bodies is found per hemisphere (Winther et al., 2003).</t>
        </is>
      </c>
      <c r="E898" t="inlineStr">
        <is>
          <t>Winther et al., 2003, J. Comp. Neurol. 464(2): 180--196 (flybase.org/reports/FBrf0162212)</t>
        </is>
      </c>
      <c r="F898" t="inlineStr"/>
      <c r="G898" t="inlineStr"/>
      <c r="H898" t="inlineStr"/>
    </row>
    <row r="899">
      <c r="A899">
        <f>HYPERLINK("https://www.ebi.ac.uk/ols/ontologies/fbbt/terms?iri=http://purl.obolibrary.org/obo/FBbt_00003727","FBbt:00003727")</f>
        <v/>
      </c>
      <c r="B899" t="inlineStr">
        <is>
          <t>columnar neuron T1</t>
        </is>
      </c>
      <c r="C899" t="inlineStr">
        <is>
          <t>T1; T neuron T1</t>
        </is>
      </c>
      <c r="D899" t="inlineStr">
        <is>
          <t>An intrinsic columnar neuron whose cell body lies in the cortex of the medulla. The fiber of the T1 cell body branches at the medulla surface to form a T-shaped linking fiber between a bush-like arborization in the distal part of a medulla column (M1 and M2), and a bundle of climbing fibers in the equivalent column of the lamina (Fischbach and Dittrich, 1989). Synaptic connections in the lamina are exclusively postsynaptic and include connections to photoreceptors R2-R4, lamina amacrine neurons Lai, centrifugal cell C3 and lamina wide-field cells Lawf (Meinertzhagen and O'Neil, 1991; Rivera-Alba et al., 2011). In the medulla, it also forms exclusively postsynaptic connections with centrifugal neuron C3 in medulla layer M2 and lamina monopolar neuron L2 (Takemura et al., 2008, 2013). Oddly, no output synapses have been found.</t>
        </is>
      </c>
      <c r="E899" t="inlineStr">
        <is>
          <t>Fischbach and Dittrich, 1989, Cell Tissue Res. 258(3): 441--475 (flybase.org/reports/FBrf0049410); Meinertzhagen and O'Neil, 1991, J. Comp. Neurol. 305(2): 232--263 (flybase.org/reports/FBrf0054529); Takemura et al., 2008, J. Comp. Neurol. 509(5): 493--513 (flybase.org/reports/FBrf0205531); Rivera-Alba et al., 2011, Curr. Biol. 21(23): 2000--2005 (flybase.org/reports/FBrf0216925); Takemura et al., 2013, Nature 500(7461): 175--181 (flybase.org/reports/FBrf0222324)</t>
        </is>
      </c>
      <c r="F899" t="inlineStr"/>
      <c r="G899" t="inlineStr"/>
      <c r="H899" t="inlineStr"/>
    </row>
    <row r="900">
      <c r="A900">
        <f>HYPERLINK("https://www.ebi.ac.uk/ols/ontologies/fbbt/terms?iri=http://purl.obolibrary.org/obo/FBbt_00003726","FBbt:00003726")</f>
        <v/>
      </c>
      <c r="B900" t="inlineStr">
        <is>
          <t>T neuron</t>
        </is>
      </c>
      <c r="C900" t="inlineStr">
        <is>
          <t>T</t>
        </is>
      </c>
      <c r="D900" t="inlineStr">
        <is>
          <t>An intrinsic columnar neuron of the optic lobe that has a cell body in the cortex of the lobula plate and that bifurcates in the second optic chiasm with the two branches innervating either the lobula plate and the lobula or the medulla and the lobula.</t>
        </is>
      </c>
      <c r="E900" t="inlineStr">
        <is>
          <t>Fischbach and Dittrich, 1989, Cell Tissue Res. 258(3): 441--475 (flybase.org/reports/FBrf0049410)</t>
        </is>
      </c>
      <c r="F900" t="inlineStr"/>
      <c r="G900" t="inlineStr"/>
      <c r="H900" t="inlineStr"/>
    </row>
    <row r="901">
      <c r="A901">
        <f>HYPERLINK("https://www.ebi.ac.uk/ols/ontologies/fbbt/terms?iri=http://purl.obolibrary.org/obo/FBbt_00110091","FBbt:00110091")</f>
        <v/>
      </c>
      <c r="B901" t="inlineStr">
        <is>
          <t>transmedullary Y neuron vGlutTmYnew1</t>
        </is>
      </c>
      <c r="C901" t="inlineStr">
        <is>
          <t>vGlutTmYnew1; TmYnew1</t>
        </is>
      </c>
      <c r="D901" t="inlineStr">
        <is>
          <t>Transmedullary Y neuron that terminates in lobula layer 1 and in the four layers of the lobula plate. It displays arborizations in medulla layers M7-M10 (Jagadish et al., 2014, Raghu and Borst, 2011). It is a glutamatergic neuron (Raghu and Borst, 2011).</t>
        </is>
      </c>
      <c r="E901" t="inlineStr">
        <is>
          <t>Raghu and Borst, 2011, PLoS ONE 6(5): e19472 (flybase.org/reports/FBrf0213690); Jagadish et al., 2014, Neuron 83(3): 630--644 (flybase.org/reports/FBrf0225846)</t>
        </is>
      </c>
      <c r="F901" t="inlineStr"/>
      <c r="G901" t="inlineStr"/>
      <c r="H901" t="inlineStr"/>
    </row>
    <row r="902">
      <c r="A902">
        <f>HYPERLINK("https://www.ebi.ac.uk/ols/ontologies/fbbt/terms?iri=http://purl.obolibrary.org/obo/FBbt_00048129","FBbt:00048129")</f>
        <v/>
      </c>
      <c r="B902" t="inlineStr">
        <is>
          <t>vertical system-like neuron 1</t>
        </is>
      </c>
      <c r="C902" t="inlineStr">
        <is>
          <t>VSlike1</t>
        </is>
      </c>
      <c r="D902" t="inlineStr">
        <is>
          <t>Lobular plate tangential neuron that resembles vertical system neuron 2, with few extensions outside lobula plate layer 4. It additionally has a main branch in the ventral part of the dendrite as well as a smaller diameter and sparser dendrites (Boergens et al., 2018).</t>
        </is>
      </c>
      <c r="E902" t="inlineStr">
        <is>
          <t>Boergens et al., 2018, PLoS ONE 13(11): e0207828 (flybase.org/reports/FBrf0240805)</t>
        </is>
      </c>
      <c r="F902" t="inlineStr"/>
      <c r="G902" t="inlineStr"/>
      <c r="H902" t="inlineStr"/>
    </row>
    <row r="903">
      <c r="A903">
        <f>HYPERLINK("https://www.ebi.ac.uk/ols/ontologies/fbbt/terms?iri=http://purl.obolibrary.org/obo/FBbt_00110129","FBbt:00110129")</f>
        <v/>
      </c>
      <c r="B903" t="inlineStr">
        <is>
          <t>transmedullary neuron Tm3-6</t>
        </is>
      </c>
      <c r="C903" t="inlineStr">
        <is>
          <t>Tm3-6</t>
        </is>
      </c>
      <c r="D903" t="inlineStr">
        <is>
          <t>Transmedullary neuron that arborizes in medulla layers M3, M6, M7-M10, and projects to the lobula (Morante and Desplan, 2008).</t>
        </is>
      </c>
      <c r="E903" t="inlineStr">
        <is>
          <t>Morante and Desplan, 2008, Curr. Biol. 18(8): 553--565 (flybase.org/reports/FBrf0204652)</t>
        </is>
      </c>
      <c r="F903" t="inlineStr"/>
      <c r="G903" t="inlineStr"/>
      <c r="H903" t="inlineStr"/>
    </row>
    <row r="904">
      <c r="A904">
        <f>HYPERLINK("https://www.ebi.ac.uk/ols/ontologies/fbbt/terms?iri=http://purl.obolibrary.org/obo/FBbt_00013788","FBbt:00013788")</f>
        <v/>
      </c>
      <c r="B904" t="inlineStr">
        <is>
          <t>wide field transmedullary neuron</t>
        </is>
      </c>
      <c r="C904" t="inlineStr">
        <is>
          <t>None</t>
        </is>
      </c>
      <c r="D904" t="inlineStr">
        <is>
          <t>A transmedullary neuron that arborizes across multiple columns. Typically, narrow field transmedullary neurons that contact only one of the medulla layers to which the photoreceptors R7 or R8 project to (mainly M6 and M3, respectively), have very discrete axonal projections with small terminals in the most superficial lobula layers; whereas narrow field transmedullary neurons that arborize in layers which are innervated by photoreceptors R7 and R8, project deeper to an intermediate layer of the lobula.</t>
        </is>
      </c>
      <c r="E904" t="inlineStr">
        <is>
          <t>Morante and Desplan, 2008, Curr. Biol. 18(8): 553--565 (flybase.org/reports/FBrf0204652)</t>
        </is>
      </c>
      <c r="F904" t="inlineStr"/>
      <c r="G904" t="inlineStr"/>
      <c r="H904" t="inlineStr"/>
    </row>
    <row r="905">
      <c r="A905">
        <f>HYPERLINK("https://www.ebi.ac.uk/ols/ontologies/fbbt/terms?iri=http://purl.obolibrary.org/obo/FBbt_00111068","FBbt:00111068")</f>
        <v/>
      </c>
      <c r="B905" t="inlineStr">
        <is>
          <t>medulla non-directional M6 local neuron 1</t>
        </is>
      </c>
      <c r="C905" t="inlineStr">
        <is>
          <t>nondirectional M6-LN1</t>
        </is>
      </c>
      <c r="D905" t="inlineStr">
        <is>
          <t>Non-directional local neuron that is restricted to layer 6 of the medulla. Its soma is in the ventral region of the lateral cell body rind. This neuron arborizes in the anterior dorsal region of the M6 layer, covering around 60 columns. This neuron is GABAergic.</t>
        </is>
      </c>
      <c r="E905" t="inlineStr">
        <is>
          <t>Chin et al., 2014, J. Comp. Neurol. 522(17): 3795--3816 (flybase.org/reports/FBrf0226257)</t>
        </is>
      </c>
      <c r="F905" t="inlineStr"/>
      <c r="G905" t="inlineStr"/>
      <c r="H905" t="inlineStr"/>
    </row>
    <row r="906">
      <c r="A906">
        <f>HYPERLINK("https://www.ebi.ac.uk/ols/ontologies/fbbt/terms?iri=http://purl.obolibrary.org/obo/FBbt_00013789","FBbt:00013789")</f>
        <v/>
      </c>
      <c r="B906" t="inlineStr">
        <is>
          <t>narrow field transmedullary neuron</t>
        </is>
      </c>
      <c r="C906" t="inlineStr">
        <is>
          <t>None</t>
        </is>
      </c>
      <c r="D906" t="inlineStr">
        <is>
          <t>A transmedullary neuron that whose arborizations are restricted to a single column. Typically, wide-field transmedullary neurons that contact layers which photoreceptors R7 and R8 innervate, project to more superficial domains in the lobula compared to those wide-field transmedullary neurons that only have arborizations in the lower medulla, and do not contact the terminals of photoreceptors R7 and R8 (Morante and Desplan, 2008).</t>
        </is>
      </c>
      <c r="E906" t="inlineStr"/>
      <c r="F906" t="inlineStr"/>
      <c r="G906" t="inlineStr"/>
      <c r="H906" t="inlineStr"/>
    </row>
    <row r="907">
      <c r="A907">
        <f>HYPERLINK("https://www.ebi.ac.uk/ols/ontologies/fbbt/terms?iri=http://purl.obolibrary.org/obo/FBbt_00110070","FBbt:00110070")</f>
        <v/>
      </c>
      <c r="B907" t="inlineStr">
        <is>
          <t>medullary intrinsic neuron Mi10b</t>
        </is>
      </c>
      <c r="C907" t="inlineStr">
        <is>
          <t>Mi10b</t>
        </is>
      </c>
      <c r="D907" t="inlineStr">
        <is>
          <t>Medullary intrinsic neuron with arborizations in medulla layers M1, M2, M4-M10 (Hasegawa et al., 2011).</t>
        </is>
      </c>
      <c r="E907" t="inlineStr">
        <is>
          <t>Hasegawa et al., 2011, Development 138(5): 983--993 (flybase.org/reports/FBrf0213020)</t>
        </is>
      </c>
      <c r="F907" t="inlineStr"/>
      <c r="G907" t="inlineStr"/>
      <c r="H907" t="inlineStr"/>
    </row>
    <row r="908">
      <c r="A908">
        <f>HYPERLINK("https://www.ebi.ac.uk/ols/ontologies/fbbt/terms?iri=http://purl.obolibrary.org/obo/FBbt_00111069","FBbt:00111069")</f>
        <v/>
      </c>
      <c r="B908" t="inlineStr">
        <is>
          <t>medulla non-directional M6 local neuron 2</t>
        </is>
      </c>
      <c r="C908" t="inlineStr">
        <is>
          <t>nondirectional M6-LN2</t>
        </is>
      </c>
      <c r="D908" t="inlineStr">
        <is>
          <t>Non-directional local neuron that is restricted to layer 6 of the medulla. Its soma is in the ventral region of the lateral cell body rind. This neuron arborizes in the posterior dorsal region of the M6 layer, covering around 80 columns. This neuron subtype includes GABAergic neurons, among other neurotransmitters.</t>
        </is>
      </c>
      <c r="E908" t="inlineStr">
        <is>
          <t>Chin et al., 2014, J. Comp. Neurol. 522(17): 3795--3816 (flybase.org/reports/FBrf0226257)</t>
        </is>
      </c>
      <c r="F908" t="inlineStr"/>
      <c r="G908" t="inlineStr"/>
      <c r="H908" t="inlineStr"/>
    </row>
    <row r="909">
      <c r="A909">
        <f>HYPERLINK("https://www.ebi.ac.uk/ols/ontologies/fbbt/terms?iri=http://purl.obolibrary.org/obo/FBbt_00003746","FBbt:00003746")</f>
        <v/>
      </c>
      <c r="B909" t="inlineStr">
        <is>
          <t>lamina intrinsic neuron</t>
        </is>
      </c>
      <c r="C909" t="inlineStr">
        <is>
          <t>Lai; Am; amacrine cell</t>
        </is>
      </c>
      <c r="D909" t="inlineStr">
        <is>
          <t>Intrinsic neuron of the lamina with arborizations spanning the proximal and distal lamina, whose cell body lies proximal to the lamina (Fischbach and Dittrich, 1989; Meinertzhagen and Sorra, 2001). It has extensive arborizations forming presynaptic terminals with photoreceptors R2, R4 and R5, lamina monopolar cells L1-L5 (L4 collaterals from the same column), columnar neuron T1, centrifugal neurons C2 and C3 and epithelial glia. It receives input from photoreceptors R1-R6, lamina monopolar cell L4 (L4 collaterals from the same and adjacent columns), centrifugal neurons C2 and C3 and lamina wide-field cells (lawf). Connections are also present between branches of the same cell (Rivera-Alba et al., 2011).</t>
        </is>
      </c>
      <c r="E909" t="inlineStr">
        <is>
          <t>Fischbach and Dittrich, 1989, Cell Tissue Res. 258(3): 441--475 (flybase.org/reports/FBrf0049410); Meinertzhagen and Sorra, 2001, Prog. Brain Res. 131: 53--69 (flybase.org/reports/FBrf0159582); Rivera-Alba et al., 2011, Curr. Biol. 21(23): 2000--2005 (flybase.org/reports/FBrf0216925)</t>
        </is>
      </c>
      <c r="F909" t="inlineStr"/>
      <c r="G909" t="inlineStr"/>
      <c r="H909" t="inlineStr"/>
    </row>
    <row r="910">
      <c r="A910">
        <f>HYPERLINK("https://www.ebi.ac.uk/ols/ontologies/fbbt/terms?iri=http://purl.obolibrary.org/obo/FBbt_00003743","FBbt:00003743")</f>
        <v/>
      </c>
      <c r="B910" t="inlineStr">
        <is>
          <t>centrifugal neuron C2</t>
        </is>
      </c>
      <c r="C910" t="inlineStr">
        <is>
          <t>C2</t>
        </is>
      </c>
      <c r="D910" t="inlineStr">
        <is>
          <t>A centrifugal neuron with wide field arborizations in the medulla layers M1, M5, M8 and M10 and more restricted arborizations in the lamina (Fischbach and Dittrich, 1989). In the lamina it is presynaptic to lamina monopolar neuron L2 and lamina intrinsic (amacrine) cells, and postsynaptic to photoreceptor R5, lamina intrinsic (amacrine) cells and lamina wide-field cells Lawf (Meinertzhagen and O'Neil, 1991; Rivera-Alba et al., 2011). In the medulla, it is presynaptic to monopolar lamina neuron L2 and L3, and medullary intrinsic neuron Mi1. It makes reciprocal synaptic connections with L1 in M1 and with L5 (Takemura et al., 2008, 2013). It outputs to centrifugal neuron C3 (Takemura et al., 2013). Centrifugal neuron C2 is GABAergic (Fei et al., 2010).</t>
        </is>
      </c>
      <c r="E910" t="inlineStr">
        <is>
          <t>Fischbach and Dittrich, 1989, Cell Tissue Res. 258(3): 441--475 (flybase.org/reports/FBrf0049410); Meinertzhagen and O'Neil, 1991, J. Comp. Neurol. 305(2): 232--263 (flybase.org/reports/FBrf0054529); Takemura et al., 2008, J. Comp. Neurol. 509(5): 493--513 (flybase.org/reports/FBrf0205531); Fei et al., 2010, J. Exp. Biol. 213(10): 1717--1730 (flybase.org/reports/FBrf0210635); Rivera-Alba et al., 2011, Curr. Biol. 21(23): 2000--2005 (flybase.org/reports/FBrf0216925); Takemura et al., 2013, Nature 500(7461): 175--181 (flybase.org/reports/FBrf0222324)</t>
        </is>
      </c>
      <c r="F910" t="inlineStr"/>
      <c r="G910" t="inlineStr"/>
      <c r="H910" t="inlineStr"/>
    </row>
    <row r="911">
      <c r="A911">
        <f>HYPERLINK("https://www.ebi.ac.uk/ols/ontologies/fbbt/terms?iri=http://purl.obolibrary.org/obo/FBbt_00003744","FBbt:00003744")</f>
        <v/>
      </c>
      <c r="B911" t="inlineStr">
        <is>
          <t>centrifugal neuron C3</t>
        </is>
      </c>
      <c r="C911" t="inlineStr">
        <is>
          <t>C3</t>
        </is>
      </c>
      <c r="D911" t="inlineStr">
        <is>
          <t>A centrifugal wide-field neuron with wide field arborizations in the medulla layers M1-2, M5, and M8-10 and more restricted arborizations in the lamina (Fischbach and Dittrich, 1989). In the lamina it is presynaptic to photoreceptor R3, lamina monopolar neurons L1-L2, lamina intrinsic (amacrine) cells and columnar neuron T1 (Meinertzhagen and O'Neil, 1991; Rivera-Alba et al., 2011; Morante and Desplan, 2008). It also establishes connections with epithelial glial cells. It forms postsynaptic terminals in the lamina (Morante and Desplan, 2008) with photoreceptor R3, lamina intrinsic (amacrine) cells and lamina wide-field cells Lawf. In the medulla it is presynaptic to monopolar lamina neuron L2 and, T1, Tm1 and Tm4, and postsynaptic to L1 (Takemura et al., 2008, 2013). Centrifugal neuron C3 is GABAergic (Fei et al., 2010).</t>
        </is>
      </c>
      <c r="E911" t="inlineStr">
        <is>
          <t>Fischbach and Dittrich, 1989, Cell Tissue Res. 258(3): 441--475 (flybase.org/reports/FBrf0049410); Meinertzhagen and O'Neil, 1991, J. Comp. Neurol. 305(2): 232--263 (flybase.org/reports/FBrf0054529); Morante and Desplan, 2008, Curr. Biol. 18(8): 553--565 (flybase.org/reports/FBrf0204652); Takemura et al., 2008, J. Comp. Neurol. 509(5): 493--513 (flybase.org/reports/FBrf0205531); Fei et al., 2010, J. Exp. Biol. 213(10): 1717--1730 (flybase.org/reports/FBrf0210635); Rivera-Alba et al., 2011, Curr. Biol. 21(23): 2000--2005 (flybase.org/reports/FBrf0216925); Takemura et al., 2013, Nature 500(7461): 175--181 (flybase.org/reports/FBrf0222324)</t>
        </is>
      </c>
      <c r="F911" t="inlineStr"/>
      <c r="G911" t="inlineStr"/>
      <c r="H911" t="inlineStr"/>
    </row>
    <row r="912">
      <c r="A912">
        <f>HYPERLINK("https://www.ebi.ac.uk/ols/ontologies/fbbt/terms?iri=http://purl.obolibrary.org/obo/FBbt_00003803","FBbt:00003803")</f>
        <v/>
      </c>
      <c r="B912" t="inlineStr">
        <is>
          <t>transmedullary neuron Tm15</t>
        </is>
      </c>
      <c r="C912" t="inlineStr">
        <is>
          <t>Tm15</t>
        </is>
      </c>
      <c r="D912" t="inlineStr">
        <is>
          <t>Transmedullary neuron that terminates in lobula layer 5 with both fine and bleb-type arborizations. It displays fine arborizations in medulla layers M2, M3, M4, M5 and M10, and has bleb-type arborizations in layers M3 and M8. It is a cholinergic neuron (Varija Raghu et al., 2011).</t>
        </is>
      </c>
      <c r="E912" t="inlineStr">
        <is>
          <t>Fischbach and Dittrich, 1989, Cell Tissue Res. 258(3): 441--475 (flybase.org/reports/FBrf0049410); Varija Raghu et al., 2011, J. Comp. Neurol. 519(1): 162--176 (flybase.org/reports/FBrf0212356)</t>
        </is>
      </c>
      <c r="F912" t="inlineStr"/>
      <c r="G912" t="inlineStr"/>
      <c r="H912" t="inlineStr"/>
    </row>
    <row r="913">
      <c r="A913">
        <f>HYPERLINK("https://www.ebi.ac.uk/ols/ontologies/fbbt/terms?iri=http://purl.obolibrary.org/obo/FBbt_00003801","FBbt:00003801")</f>
        <v/>
      </c>
      <c r="B913" t="inlineStr">
        <is>
          <t>transmedullary neuron Tm13</t>
        </is>
      </c>
      <c r="C913" t="inlineStr">
        <is>
          <t>Tm13</t>
        </is>
      </c>
      <c r="D913" t="inlineStr">
        <is>
          <t>Transmedullary neuron that terminates in lobula layer 4 with both fine and bleb-type arborizations. It displays fine arborizations in medulla layers M1, M2, M3, M4 and M9, and has bleb-type arborizations in layers M2, M3 and M4.</t>
        </is>
      </c>
      <c r="E913" t="inlineStr">
        <is>
          <t>Fischbach and Dittrich, 1989, Cell Tissue Res. 258(3): 441--475 (flybase.org/reports/FBrf0049410)</t>
        </is>
      </c>
      <c r="F913" t="inlineStr"/>
      <c r="G913" t="inlineStr"/>
      <c r="H913" t="inlineStr"/>
    </row>
    <row r="914">
      <c r="A914">
        <f>HYPERLINK("https://www.ebi.ac.uk/ols/ontologies/fbbt/terms?iri=http://purl.obolibrary.org/obo/FBbt_00003802","FBbt:00003802")</f>
        <v/>
      </c>
      <c r="B914" t="inlineStr">
        <is>
          <t>transmedullary neuron Tm14</t>
        </is>
      </c>
      <c r="C914" t="inlineStr">
        <is>
          <t>Tm14</t>
        </is>
      </c>
      <c r="D914" t="inlineStr">
        <is>
          <t>Transmedullary neuron that terminates in lobula layer 4 with bleb-type arborizations. It displays fine arborizations in medulla layers M1, M2, M3 and M9, and has bleb-type arborizations in layers M1 and M2.</t>
        </is>
      </c>
      <c r="E914" t="inlineStr">
        <is>
          <t>Fischbach and Dittrich, 1989, Cell Tissue Res. 258(3): 441--475 (flybase.org/reports/FBrf0049410)</t>
        </is>
      </c>
      <c r="F914" t="inlineStr"/>
      <c r="G914" t="inlineStr"/>
      <c r="H914" t="inlineStr"/>
    </row>
    <row r="915">
      <c r="A915">
        <f>HYPERLINK("https://www.ebi.ac.uk/ols/ontologies/fbbt/terms?iri=http://purl.obolibrary.org/obo/FBbt_00110071","FBbt:00110071")</f>
        <v/>
      </c>
      <c r="B915" t="inlineStr">
        <is>
          <t>transmedullary neuron Tm3b</t>
        </is>
      </c>
      <c r="C915" t="inlineStr">
        <is>
          <t>Tm3b</t>
        </is>
      </c>
      <c r="D915" t="inlineStr">
        <is>
          <t>Transmedullary neuron that terminates in lobula layers 1 and 4 with bleb-like terminal arborizations. It has fine arborizations in medulla layers M1, M4, and M5, and has bleb-type arborization in medulla layers M1, M4, M9 and M10 (Fischbach and Dittrich, 1989). It has a small branch at medulla layer M8 that projects towards medulla layer M10, which distinguishes it from the Tm3a (Tm3) neuron (Hasegawa et al., 2011).</t>
        </is>
      </c>
      <c r="E915" t="inlineStr">
        <is>
          <t>Fischbach and Dittrich, 1989, Cell Tissue Res. 258(3): 441--475 (flybase.org/reports/FBrf0049410); Hasegawa et al., 2011, Development 138(5): 983--993 (flybase.org/reports/FBrf0213020)</t>
        </is>
      </c>
      <c r="F915" t="inlineStr"/>
      <c r="G915" t="inlineStr"/>
      <c r="H915" t="inlineStr"/>
    </row>
    <row r="916">
      <c r="A916">
        <f>HYPERLINK("https://www.ebi.ac.uk/ols/ontologies/fbbt/terms?iri=http://purl.obolibrary.org/obo/FBbt_00100526","FBbt:00100526")</f>
        <v/>
      </c>
      <c r="B916" t="inlineStr">
        <is>
          <t>adult outer optic chiasma giant glial cell</t>
        </is>
      </c>
      <c r="C916" t="inlineStr">
        <is>
          <t>adult outer optic chiasm giant glial cell; giant glial cell; adult outer optic chiasm large glial cell</t>
        </is>
      </c>
      <c r="D916" t="inlineStr">
        <is>
          <t>Large glial cell located in the outer optic chiasm of the adult optic lobe. It extends many cytoplasmic processes that enwraps fiber bundles at and near the sites of axonal intersection (Tix et al., 1997).</t>
        </is>
      </c>
      <c r="E916" t="inlineStr">
        <is>
          <t>Tix et al., 1997, Cell Tissue Res. 289(3): 397--409 (flybase.org/reports/FBrf0096428)</t>
        </is>
      </c>
      <c r="F916" t="inlineStr"/>
      <c r="G916" t="inlineStr"/>
      <c r="H916" t="inlineStr"/>
    </row>
    <row r="917">
      <c r="A917">
        <f>HYPERLINK("https://www.ebi.ac.uk/ols/ontologies/fbbt/terms?iri=http://purl.obolibrary.org/obo/FBbt_00003730","FBbt:00003730")</f>
        <v/>
      </c>
      <c r="B917" t="inlineStr">
        <is>
          <t>T neuron T3</t>
        </is>
      </c>
      <c r="C917" t="inlineStr">
        <is>
          <t>T3</t>
        </is>
      </c>
      <c r="D917" t="inlineStr">
        <is>
          <t>Wide-field T neuron whose soma sits in the cortex adjacent to the gap between the medulla and lobula plate. Its cell body fiber project through this gap before branching in the second optic chiasm, with one branch forming a bushy, fine, terminal arborization in medulla layer M9 and the other forming a terminal arborization in lobula layers 2 and 3 with mix of bleb-type and fine terminal branches (Morante and Desplan, 2008; Fischbach and Dittrich, 1989). It seems to be capable of both glutamatergic and GABAergic neurotransmission.</t>
        </is>
      </c>
      <c r="E917" t="inlineStr">
        <is>
          <t>Fischbach and Dittrich, 1989, Cell Tissue Res. 258(3): 441--475 (flybase.org/reports/FBrf0049410); Morante and Desplan, 2008, Curr. Biol. 18(8): 553--565 (flybase.org/reports/FBrf0204652); Raghu and Borst, 2011, PLoS ONE 6(5): e19472 (flybase.org/reports/FBrf0213690); Raghu et al., 2013, J. Comp. Neurol. 521(1): 252--265 (flybase.org/reports/FBrf0220286)</t>
        </is>
      </c>
      <c r="F917" t="inlineStr"/>
      <c r="G917" t="inlineStr"/>
      <c r="H917" t="inlineStr"/>
    </row>
    <row r="918">
      <c r="A918">
        <f>HYPERLINK("https://www.ebi.ac.uk/ols/ontologies/fbbt/terms?iri=http://purl.obolibrary.org/obo/FBbt_00110083","FBbt:00110083")</f>
        <v/>
      </c>
      <c r="B918" t="inlineStr">
        <is>
          <t>medullary intrinsic neuron ChaMinew1</t>
        </is>
      </c>
      <c r="C918" t="inlineStr">
        <is>
          <t>Minew1; ChaMinew1</t>
        </is>
      </c>
      <c r="D918" t="inlineStr">
        <is>
          <t>Medullary intrinsic neuron which projects along one medulla column without forming many lateral branches until it reaches layers M9 and M10, where it arborizes extensively. It is a cholinergic neuron (Varija Raghu et al., 2011).</t>
        </is>
      </c>
      <c r="E918" t="inlineStr">
        <is>
          <t>Fischbach and Dittrich, 1989, Cell Tissue Res. 258(3): 441--475 (flybase.org/reports/FBrf0049410); Varija Raghu et al., 2011, J. Comp. Neurol. 519(1): 162--176 (flybase.org/reports/FBrf0212356)</t>
        </is>
      </c>
      <c r="F918" t="inlineStr"/>
      <c r="G918" t="inlineStr"/>
      <c r="H918" t="inlineStr"/>
    </row>
    <row r="919">
      <c r="A919">
        <f>HYPERLINK("https://www.ebi.ac.uk/ols/ontologies/fbbt/terms?iri=http://purl.obolibrary.org/obo/FBbt_00111077","FBbt:00111077")</f>
        <v/>
      </c>
      <c r="B919" t="inlineStr">
        <is>
          <t>medulla non-directional M6 local neuron 10</t>
        </is>
      </c>
      <c r="C919" t="inlineStr">
        <is>
          <t>nondirectional M6-LN10</t>
        </is>
      </c>
      <c r="D919" t="inlineStr">
        <is>
          <t>Non-directional local neuron that is restricted to layer 6 of the medulla. Its soma is in the dorsal region of the lateral cell body rind. This neuron arborizes in the dorsoanterior region of the M6 layer, covering around 110 columns. It is a GABAergic neuron.</t>
        </is>
      </c>
      <c r="E919" t="inlineStr">
        <is>
          <t>Chin et al., 2014, J. Comp. Neurol. 522(17): 3795--3816 (flybase.org/reports/FBrf0226257)</t>
        </is>
      </c>
      <c r="F919" t="inlineStr"/>
      <c r="G919" t="inlineStr"/>
      <c r="H919" t="inlineStr"/>
    </row>
    <row r="920">
      <c r="A920">
        <f>HYPERLINK("https://www.ebi.ac.uk/ols/ontologies/fbbt/terms?iri=http://purl.obolibrary.org/obo/FBbt_00110084","FBbt:00110084")</f>
        <v/>
      </c>
      <c r="B920" t="inlineStr">
        <is>
          <t>medullary intrinsic neuron ChaMinew2</t>
        </is>
      </c>
      <c r="C920" t="inlineStr">
        <is>
          <t>Minew2; ChaMinew2</t>
        </is>
      </c>
      <c r="D920" t="inlineStr">
        <is>
          <t>Medullary intrinsic neuron that forms extensive fine layered arborizations in medulla layers M3, M4, M5, M8 and M9. It is very similar to Mi10, except for its fine arborization pattern. It is a cholinergic neuron (Varija Raghu et al., 2011).</t>
        </is>
      </c>
      <c r="E920" t="inlineStr">
        <is>
          <t>Fischbach and Dittrich, 1989, Cell Tissue Res. 258(3): 441--475 (flybase.org/reports/FBrf0049410); Varija Raghu et al., 2011, J. Comp. Neurol. 519(1): 162--176 (flybase.org/reports/FBrf0212356)</t>
        </is>
      </c>
      <c r="F920" t="inlineStr"/>
      <c r="G920" t="inlineStr"/>
      <c r="H920" t="inlineStr"/>
    </row>
    <row r="921">
      <c r="A921">
        <f>HYPERLINK("https://www.ebi.ac.uk/ols/ontologies/fbbt/terms?iri=http://purl.obolibrary.org/obo/FBbt_00111079","FBbt:00111079")</f>
        <v/>
      </c>
      <c r="B921" t="inlineStr">
        <is>
          <t>medulla non-directional M6 local neuron 12</t>
        </is>
      </c>
      <c r="C921" t="inlineStr">
        <is>
          <t>nondirectional M6-LN12</t>
        </is>
      </c>
      <c r="D921" t="inlineStr">
        <is>
          <t>Non-directional local neuron that is restricted to layer 6 of the medulla. Its soma is in the dorsal region of the lateral cell body rind. This neuron arborizes in the dorsoposterior region of the M6 layer, covering around 54 columns. It is a GABAergic neuron.</t>
        </is>
      </c>
      <c r="E921" t="inlineStr">
        <is>
          <t>Chin et al., 2014, J. Comp. Neurol. 522(17): 3795--3816 (flybase.org/reports/FBrf0226257)</t>
        </is>
      </c>
      <c r="F921" t="inlineStr"/>
      <c r="G921" t="inlineStr"/>
      <c r="H921" t="inlineStr"/>
    </row>
    <row r="922">
      <c r="A922">
        <f>HYPERLINK("https://www.ebi.ac.uk/ols/ontologies/fbbt/terms?iri=http://purl.obolibrary.org/obo/FBbt_00111078","FBbt:00111078")</f>
        <v/>
      </c>
      <c r="B922" t="inlineStr">
        <is>
          <t>medulla non-directional M6 local neuron 11</t>
        </is>
      </c>
      <c r="C922" t="inlineStr">
        <is>
          <t>nondirectional M6-LN11</t>
        </is>
      </c>
      <c r="D922" t="inlineStr">
        <is>
          <t>Non-directional local neuron that is restricted to layer 6 of the medulla. Its soma is in the dorsal region of the lateral cell body rind. This neuron arborizes in the most dorsal region of the M6 layer, covering around 51 columns. It is a GABAergic neuron.</t>
        </is>
      </c>
      <c r="E922" t="inlineStr">
        <is>
          <t>Chin et al., 2014, J. Comp. Neurol. 522(17): 3795--3816 (flybase.org/reports/FBrf0226257)</t>
        </is>
      </c>
      <c r="F922" t="inlineStr"/>
      <c r="G922" t="inlineStr"/>
      <c r="H922" t="inlineStr"/>
    </row>
    <row r="923">
      <c r="A923">
        <f>HYPERLINK("https://www.ebi.ac.uk/ols/ontologies/fbbt/terms?iri=http://purl.obolibrary.org/obo/FBbt_00048135","FBbt:00048135")</f>
        <v/>
      </c>
      <c r="B923" t="inlineStr">
        <is>
          <t>transmedullary neuron Tm1a</t>
        </is>
      </c>
      <c r="C923" t="inlineStr">
        <is>
          <t>Tm1a</t>
        </is>
      </c>
      <c r="D923" t="inlineStr">
        <is>
          <t>Transmedullary narrow field neuron that terminates in lobula layer 1 with a bleb-type terminal arborization (Fischbach and Dittrich, 1989).</t>
        </is>
      </c>
      <c r="E923" t="inlineStr">
        <is>
          <t>Fischbach and Dittrich, 1989, Cell Tissue Res. 258(3): 441--475 (flybase.org/reports/FBrf0049410)</t>
        </is>
      </c>
      <c r="F923" t="inlineStr"/>
      <c r="G923" t="inlineStr"/>
      <c r="H923" t="inlineStr"/>
    </row>
    <row r="924">
      <c r="A924">
        <f>HYPERLINK("https://www.ebi.ac.uk/ols/ontologies/fbbt/terms?iri=http://purl.obolibrary.org/obo/FBbt_00013774","FBbt:00013774")</f>
        <v/>
      </c>
      <c r="B924" t="inlineStr">
        <is>
          <t>distal medullary amacrine neuron Dm8</t>
        </is>
      </c>
      <c r="C924" t="inlineStr">
        <is>
          <t>Dm8</t>
        </is>
      </c>
      <c r="D924" t="inlineStr">
        <is>
          <t>Distal medullary amacrine neuron that arborizes in layer M6, with arbors projecting back to layers 4 and 5.</t>
        </is>
      </c>
      <c r="E924" t="inlineStr">
        <is>
          <t>Fischbach and Dittrich, 1989, Cell Tissue Res. 258(3): 441--475 (flybase.org/reports/FBrf0049410)</t>
        </is>
      </c>
      <c r="F924" t="inlineStr"/>
      <c r="G924" t="inlineStr"/>
      <c r="H924" t="inlineStr"/>
    </row>
    <row r="925">
      <c r="A925">
        <f>HYPERLINK("https://www.ebi.ac.uk/ols/ontologies/fbbt/terms?iri=http://purl.obolibrary.org/obo/FBbt_00111071","FBbt:00111071")</f>
        <v/>
      </c>
      <c r="B925" t="inlineStr">
        <is>
          <t>medulla non-directional M6 local neuron 4</t>
        </is>
      </c>
      <c r="C925" t="inlineStr">
        <is>
          <t>nondirectional M6-LN4</t>
        </is>
      </c>
      <c r="D925" t="inlineStr">
        <is>
          <t>Non-directional local neuron that is restricted to layer 6 of the medulla. Its soma is in the dorsal region of the lateral cell body rind. This neuron arborizes in the ventral region of the M6 layer, covering around 157 columns.</t>
        </is>
      </c>
      <c r="E925" t="inlineStr">
        <is>
          <t>Chin et al., 2014, J. Comp. Neurol. 522(17): 3795--3816 (flybase.org/reports/FBrf0226257)</t>
        </is>
      </c>
      <c r="F925" t="inlineStr"/>
      <c r="G925" t="inlineStr"/>
      <c r="H925" t="inlineStr"/>
    </row>
    <row r="926">
      <c r="A926">
        <f>HYPERLINK("https://www.ebi.ac.uk/ols/ontologies/fbbt/terms?iri=http://purl.obolibrary.org/obo/FBbt_00110135","FBbt:00110135")</f>
        <v/>
      </c>
      <c r="B926" t="inlineStr">
        <is>
          <t>distal medullary amacrine neuron Dm10</t>
        </is>
      </c>
      <c r="C926" t="inlineStr">
        <is>
          <t>distal medullary amacrine neuron Dm1-5; Dm1-5</t>
        </is>
      </c>
      <c r="D926" t="inlineStr">
        <is>
          <t>Distal medullary wide-field amacrine neuron whose cell body is located in the cell body rind of the medulla. It has a distinct tri-stratified layer pattern, branching extensively in medulla layers M1, M3B and M5. Its arbor resembles an ellipse, with the long axis aligned with the dorsal-ventral axis, and covering less than 10 columns. The processes in M1 and M3B to M5 are located in an intracolumnar position. There are around 300 Dm10 neurons per hemisphere.</t>
        </is>
      </c>
      <c r="E926" t="inlineStr">
        <is>
          <t>Morante and Desplan, 2008, Curr. Biol. 18(8): 553--565 (flybase.org/reports/FBrf0204652); Takemura et al., 2013, Nature 500(7461): 175--181 (flybase.org/reports/FBrf0222324); Nern et al., 2015, Proc. Natl. Acad. Sci. U.S.A. 112(22): E2967--E2976 (flybase.org/reports/FBrf0228639)</t>
        </is>
      </c>
      <c r="F926" t="inlineStr"/>
      <c r="G926" t="inlineStr"/>
      <c r="H926" t="inlineStr"/>
    </row>
    <row r="927">
      <c r="A927">
        <f>HYPERLINK("https://www.ebi.ac.uk/ols/ontologies/fbbt/terms?iri=http://purl.obolibrary.org/obo/FBbt_00111072","FBbt:00111072")</f>
        <v/>
      </c>
      <c r="B927" t="inlineStr">
        <is>
          <t>medulla non-directional M6 local neuron 5</t>
        </is>
      </c>
      <c r="C927" t="inlineStr">
        <is>
          <t>nondirectional M6-LN5</t>
        </is>
      </c>
      <c r="D927" t="inlineStr">
        <is>
          <t>Non-directional local neuron that is restricted to layer 6 of the medulla. Its soma is in the ventral region of the lateral cell body rind. This neuron arborizes in the ventralmost region of the M6 layer, covering around 114 columns.</t>
        </is>
      </c>
      <c r="E927" t="inlineStr">
        <is>
          <t>Chin et al., 2014, J. Comp. Neurol. 522(17): 3795--3816 (flybase.org/reports/FBrf0226257)</t>
        </is>
      </c>
      <c r="F927" t="inlineStr"/>
      <c r="G927" t="inlineStr"/>
      <c r="H927" t="inlineStr"/>
    </row>
    <row r="928">
      <c r="A928">
        <f>HYPERLINK("https://www.ebi.ac.uk/ols/ontologies/fbbt/terms?iri=http://purl.obolibrary.org/obo/FBbt_00003736","FBbt:00003736")</f>
        <v/>
      </c>
      <c r="B928" t="inlineStr">
        <is>
          <t>T neuron T5</t>
        </is>
      </c>
      <c r="C928" t="inlineStr">
        <is>
          <t>T5</t>
        </is>
      </c>
      <c r="D928" t="inlineStr">
        <is>
          <t>T neuron whose cell body fiber projects through the lobula plate with little or no arborization before bifurcating in the second optic chiasm with one branch forming a fine terminal arborization in lobula layer 1 and the other doubling back to form bleb-type arborizations in the lobula plate. In lobula layer 1, it receives input from the transmedullary neuron Tm1, Tm2, Tm4 and Tm9. It is a cholinergic neuron (Mauss et al., 2014; Shinomiya et al., 2014). There are a large number of these cells, which are generated from neuroblasts that amplify by symmetric division (type III) before generating the T5 (and T4) neurons (Mora et al., 2018).</t>
        </is>
      </c>
      <c r="E928" t="inlineStr">
        <is>
          <t>Fischbach and Dittrich, 1989, Cell Tissue Res. 258(3): 441--475 (flybase.org/reports/FBrf0049410); Mauss et al., 2014, J. Neurosci. 34(6): 2254--2263 (flybase.org/reports/FBrf0224060); Shinomiya et al., 2014, Curr. Biol. 24(10): 1062--1070 (flybase.org/reports/FBrf0225094); Mora et al., 2018, Dev. Cell 45(1): 53--66.e5 (flybase.org/reports/FBrf0238554)</t>
        </is>
      </c>
      <c r="F928" t="inlineStr"/>
      <c r="G928" t="inlineStr"/>
      <c r="H928" t="inlineStr"/>
    </row>
    <row r="929">
      <c r="A929">
        <f>HYPERLINK("https://www.ebi.ac.uk/ols/ontologies/fbbt/terms?iri=http://purl.obolibrary.org/obo/FBbt_00111070","FBbt:00111070")</f>
        <v/>
      </c>
      <c r="B929" t="inlineStr">
        <is>
          <t>medulla non-directional M6 local neuron 3</t>
        </is>
      </c>
      <c r="C929" t="inlineStr">
        <is>
          <t>nondirectional M6-LN3</t>
        </is>
      </c>
      <c r="D929" t="inlineStr">
        <is>
          <t>Non-directional local neuron that is restricted to layer 6 of the medulla. Its soma is in the ventral region of the lateral cell body rind. This neuron arborizes in the posterior dorsal region of the M6 layer, covering around 148 columns. This neuron subtype includes GABAergic neurons, among other neurotransmitters.</t>
        </is>
      </c>
      <c r="E929" t="inlineStr">
        <is>
          <t>Chin et al., 2014, J. Comp. Neurol. 522(17): 3795--3816 (flybase.org/reports/FBrf0226257)</t>
        </is>
      </c>
      <c r="F929" t="inlineStr"/>
      <c r="G929" t="inlineStr"/>
      <c r="H929" t="inlineStr"/>
    </row>
    <row r="930">
      <c r="A930">
        <f>HYPERLINK("https://www.ebi.ac.uk/ols/ontologies/fbbt/terms?iri=http://purl.obolibrary.org/obo/FBbt_00110080","FBbt:00110080")</f>
        <v/>
      </c>
      <c r="B930" t="inlineStr">
        <is>
          <t>T neuron ChaTnew1</t>
        </is>
      </c>
      <c r="C930" t="inlineStr">
        <is>
          <t>Tnew1; ChaTnew1</t>
        </is>
      </c>
      <c r="D930" t="inlineStr">
        <is>
          <t>T neuron whose cell body sits in the cortex adjacent to the gap between the medulla and lobula plate. Its cell body fibers project through this gap before branching in the second optic chiasm. One branch projects into medulla layer M10, the other branch forms a terminal arborization in lobula layers 1 and 2 and lobula plate layer 1. It is a cholinergic neuron (Varija Raghu et al., 2011).</t>
        </is>
      </c>
      <c r="E930" t="inlineStr">
        <is>
          <t>Varija Raghu et al., 2011, J. Comp. Neurol. 519(1): 162--176 (flybase.org/reports/FBrf0212356)</t>
        </is>
      </c>
      <c r="F930" t="inlineStr"/>
      <c r="G930" t="inlineStr"/>
      <c r="H930" t="inlineStr"/>
    </row>
    <row r="931">
      <c r="A931">
        <f>HYPERLINK("https://www.ebi.ac.uk/ols/ontologies/fbbt/terms?iri=http://purl.obolibrary.org/obo/FBbt_00111075","FBbt:00111075")</f>
        <v/>
      </c>
      <c r="B931" t="inlineStr">
        <is>
          <t>medulla non-directional M6 local neuron 8</t>
        </is>
      </c>
      <c r="C931" t="inlineStr">
        <is>
          <t>nondirectional M6-LN8</t>
        </is>
      </c>
      <c r="D931" t="inlineStr">
        <is>
          <t>Non-directional local neuron that is restricted to layer 6 of the medulla. Its soma is in the dorsal region of the lateral cell body rind. This neuron arborizes in the dorsoanterior region of the M6 layer, covering around 148 columns. It is a GABAergic neuron.</t>
        </is>
      </c>
      <c r="E931" t="inlineStr">
        <is>
          <t>Chin et al., 2014, J. Comp. Neurol. 522(17): 3795--3816 (flybase.org/reports/FBrf0226257)</t>
        </is>
      </c>
      <c r="F931" t="inlineStr"/>
      <c r="G931" t="inlineStr"/>
      <c r="H931" t="inlineStr"/>
    </row>
    <row r="932">
      <c r="A932">
        <f>HYPERLINK("https://www.ebi.ac.uk/ols/ontologies/fbbt/terms?iri=http://purl.obolibrary.org/obo/FBbt_00111076","FBbt:00111076")</f>
        <v/>
      </c>
      <c r="B932" t="inlineStr">
        <is>
          <t>medulla non-directional M6 local neuron 9</t>
        </is>
      </c>
      <c r="C932" t="inlineStr">
        <is>
          <t>nondirectional M6-LN9</t>
        </is>
      </c>
      <c r="D932" t="inlineStr">
        <is>
          <t>Non-directional local neuron that is restricted to layer 6 of the medulla. Its soma is in the dorsal region of the lateral cell body rind. This neuron arborizes in the dorsoanterior region of the M6 layer, covering around 40 columns. It is a GABAergic neuron.</t>
        </is>
      </c>
      <c r="E932" t="inlineStr">
        <is>
          <t>Chin et al., 2014, J. Comp. Neurol. 522(17): 3795--3816 (flybase.org/reports/FBrf0226257)</t>
        </is>
      </c>
      <c r="F932" t="inlineStr"/>
      <c r="G932" t="inlineStr"/>
      <c r="H932" t="inlineStr"/>
    </row>
    <row r="933">
      <c r="A933">
        <f>HYPERLINK("https://www.ebi.ac.uk/ols/ontologies/fbbt/terms?iri=http://purl.obolibrary.org/obo/FBbt_00111073","FBbt:00111073")</f>
        <v/>
      </c>
      <c r="B933" t="inlineStr">
        <is>
          <t>medulla non-directional M6 local neuron 6</t>
        </is>
      </c>
      <c r="C933" t="inlineStr">
        <is>
          <t>nondirectional M6-LN6</t>
        </is>
      </c>
      <c r="D933" t="inlineStr">
        <is>
          <t>Non-directional local neuron that is restricted to layer 6 of the medulla. Its soma is in the ventral region of the lateral cell body rind. This neuron arborizes in the dorsalmost region of the M6 layer, covering around 102 columns.</t>
        </is>
      </c>
      <c r="E933" t="inlineStr">
        <is>
          <t>Chin et al., 2014, J. Comp. Neurol. 522(17): 3795--3816 (flybase.org/reports/FBrf0226257)</t>
        </is>
      </c>
      <c r="F933" t="inlineStr"/>
      <c r="G933" t="inlineStr"/>
      <c r="H933" t="inlineStr"/>
    </row>
    <row r="934">
      <c r="A934">
        <f>HYPERLINK("https://www.ebi.ac.uk/ols/ontologies/fbbt/terms?iri=http://purl.obolibrary.org/obo/FBbt_00003731","FBbt:00003731")</f>
        <v/>
      </c>
      <c r="B934" t="inlineStr">
        <is>
          <t>T neuron T4</t>
        </is>
      </c>
      <c r="C934" t="inlineStr">
        <is>
          <t>T4</t>
        </is>
      </c>
      <c r="D934" t="inlineStr">
        <is>
          <t>T neuron whose cell body fiber projects through the lobula plate with little or no arborization before bifurcating in the second optic chiasm with one branch forming a fine terminal arborization in medulla layer M9 and M10 and the other branch doubling back to form bleb-type arborizations in the lobula plate. It receives input from the medullary intrinsic neuron Mi1 and transmedullary neuron Tm3a (Takemura et al., 2013). It is a cholinergic neuron (Mauss et al., 2014; Shinomiya et al., 2014). There are a large number of these cells, which are generated from neuroblasts that amplify by symmetric division (type III) before generating the T4 (and T5) neurons (Mora et al., 2018).</t>
        </is>
      </c>
      <c r="E934" t="inlineStr">
        <is>
          <t>Fischbach and Dittrich, 1989, Cell Tissue Res. 258(3): 441--475 (flybase.org/reports/FBrf0049410); Takemura et al., 2013, Nature 500(7461): 175--181 (flybase.org/reports/FBrf0222324); Mauss et al., 2014, J. Neurosci. 34(6): 2254--2263 (flybase.org/reports/FBrf0224060); Shinomiya et al., 2014, Curr. Biol. 24(10): 1062--1070 (flybase.org/reports/FBrf0225094); Mora et al., 2018, Dev. Cell 45(1): 53--66.e5 (flybase.org/reports/FBrf0238554)</t>
        </is>
      </c>
      <c r="F934" t="inlineStr"/>
      <c r="G934" t="inlineStr"/>
      <c r="H934" t="inlineStr"/>
    </row>
    <row r="935">
      <c r="A935">
        <f>HYPERLINK("https://www.ebi.ac.uk/ols/ontologies/fbbt/terms?iri=http://purl.obolibrary.org/obo/FBbt_00111074","FBbt:00111074")</f>
        <v/>
      </c>
      <c r="B935" t="inlineStr">
        <is>
          <t>medulla non-directional M6 local neuron 7</t>
        </is>
      </c>
      <c r="C935" t="inlineStr">
        <is>
          <t>nondirectional M6-LN7</t>
        </is>
      </c>
      <c r="D935" t="inlineStr">
        <is>
          <t>Non-directional local neuron that is restricted to layer 6 of the medulla. Its soma is in the dorsal region of the lateral cell body rind. This neuron arborizes across the whole of the M6 layer, covering around 387 columns.</t>
        </is>
      </c>
      <c r="E935" t="inlineStr">
        <is>
          <t>Chin et al., 2014, J. Comp. Neurol. 522(17): 3795--3816 (flybase.org/reports/FBrf0226257)</t>
        </is>
      </c>
      <c r="F935" t="inlineStr"/>
      <c r="G935" t="inlineStr"/>
      <c r="H935" t="inlineStr"/>
    </row>
    <row r="936">
      <c r="A936">
        <f>HYPERLINK("https://www.ebi.ac.uk/ols/ontologies/fbbt/terms?iri=http://purl.obolibrary.org/obo/FBbt_00003915","FBbt:00003915")</f>
        <v/>
      </c>
      <c r="B936" t="inlineStr">
        <is>
          <t>Y neuron Y4</t>
        </is>
      </c>
      <c r="C936" t="inlineStr">
        <is>
          <t>Y4</t>
        </is>
      </c>
      <c r="D936" t="inlineStr">
        <is>
          <t>Y neuron whose cell body fiber projects through the lobula plate without arborizing. It branches extensively in the second optic chiasm, with one branch doubling back to form a fine terminal arborization in lobula plate layers 1 and 2, multiple branches arborizing throughout the lobula with a mix of terminal morphologies and a single branch projecting into the medulla where it forms a wide asymmetric terminal arbor that projects mainly along medulla layer M9.</t>
        </is>
      </c>
      <c r="E936" t="inlineStr">
        <is>
          <t>Fischbach and Dittrich, 1989, Cell Tissue Res. 258(3): 441--475 (flybase.org/reports/FBrf0049410)</t>
        </is>
      </c>
      <c r="F936" t="inlineStr"/>
      <c r="G936" t="inlineStr"/>
      <c r="H936" t="inlineStr"/>
    </row>
    <row r="937">
      <c r="A937">
        <f>HYPERLINK("https://www.ebi.ac.uk/ols/ontologies/fbbt/terms?iri=http://purl.obolibrary.org/obo/FBbt_00110133","FBbt:00110133")</f>
        <v/>
      </c>
      <c r="B937" t="inlineStr">
        <is>
          <t>proximal medullary amacrine neuron PmLM7</t>
        </is>
      </c>
      <c r="C937" t="inlineStr">
        <is>
          <t>PmLM7</t>
        </is>
      </c>
      <c r="D937" t="inlineStr">
        <is>
          <t>Proximal medullary wide-field amacrine neuron that arborizes extensively in medulla layer M7 and a few in M8-M10. The finest terminals in the medulla are dendritic, forming post-synaptic terminals (Morante and Desplan, 2008).</t>
        </is>
      </c>
      <c r="E937" t="inlineStr">
        <is>
          <t>Morante and Desplan, 2008, Curr. Biol. 18(8): 553--565 (flybase.org/reports/FBrf0204652)</t>
        </is>
      </c>
      <c r="F937" t="inlineStr"/>
      <c r="G937" t="inlineStr"/>
      <c r="H937" t="inlineStr"/>
    </row>
    <row r="938">
      <c r="A938">
        <f>HYPERLINK("https://www.ebi.ac.uk/ols/ontologies/fbbt/terms?iri=http://purl.obolibrary.org/obo/FBbt_00003916","FBbt:00003916")</f>
        <v/>
      </c>
      <c r="B938" t="inlineStr">
        <is>
          <t>Y neuron Y5</t>
        </is>
      </c>
      <c r="C938" t="inlineStr">
        <is>
          <t>Y5</t>
        </is>
      </c>
      <c r="D938" t="inlineStr">
        <is>
          <t>Y neuron that arborizes relatively broadly in all lobula plate layers and with a mix of terminal morphologies. Its branch in the lobula has a branched, terminal arborization with mixed terminal morphologies in lobula layers 1-3. Its branch in the medulla forms a mixed-morphology, highly branched, terminal arborization in medulla layers M7-10 with one or more very wide branches projecting along M10.</t>
        </is>
      </c>
      <c r="E938" t="inlineStr">
        <is>
          <t>Fischbach and Dittrich, 1989, Cell Tissue Res. 258(3): 441--475 (flybase.org/reports/FBrf0049410)</t>
        </is>
      </c>
      <c r="F938" t="inlineStr"/>
      <c r="G938" t="inlineStr"/>
      <c r="H938" t="inlineStr"/>
    </row>
    <row r="939">
      <c r="A939">
        <f>HYPERLINK("https://www.ebi.ac.uk/ols/ontologies/fbbt/terms?iri=http://purl.obolibrary.org/obo/FBbt_00110134","FBbt:00110134")</f>
        <v/>
      </c>
      <c r="B939" t="inlineStr">
        <is>
          <t>proximal medullary amacrine neuron Pm9-10</t>
        </is>
      </c>
      <c r="C939" t="inlineStr">
        <is>
          <t>Pm9-10</t>
        </is>
      </c>
      <c r="D939" t="inlineStr">
        <is>
          <t>Proximal medullary wide-field amacrine neuron that arborizes extensively in medulla layers M9 and M10. The terminals in the medulla form both pre- and post-synaptic terminals (Morante and Desplan, 2008).</t>
        </is>
      </c>
      <c r="E939" t="inlineStr">
        <is>
          <t>Morante and Desplan, 2008, Curr. Biol. 18(8): 553--565 (flybase.org/reports/FBrf0204652)</t>
        </is>
      </c>
      <c r="F939" t="inlineStr"/>
      <c r="G939" t="inlineStr"/>
      <c r="H939" t="inlineStr"/>
    </row>
    <row r="940">
      <c r="A940">
        <f>HYPERLINK("https://www.ebi.ac.uk/ols/ontologies/fbbt/terms?iri=http://purl.obolibrary.org/obo/FBbt_00003913","FBbt:00003913")</f>
        <v/>
      </c>
      <c r="B940" t="inlineStr">
        <is>
          <t>Y neuron Y2</t>
        </is>
      </c>
      <c r="C940" t="inlineStr">
        <is>
          <t>None</t>
        </is>
      </c>
      <c r="D940" t="inlineStr">
        <is>
          <t>.</t>
        </is>
      </c>
      <c r="E940" t="inlineStr">
        <is>
          <t>Fischbach and Dittrich, 1989, Cell Tissue Res. 258(3): 441--475 (flybase.org/reports/FBrf0049410)</t>
        </is>
      </c>
      <c r="F940" t="inlineStr"/>
      <c r="G940" t="inlineStr"/>
      <c r="H940" t="inlineStr"/>
    </row>
    <row r="941">
      <c r="A941">
        <f>HYPERLINK("https://www.ebi.ac.uk/ols/ontologies/fbbt/terms?iri=http://purl.obolibrary.org/obo/FBbt_00003914","FBbt:00003914")</f>
        <v/>
      </c>
      <c r="B941" t="inlineStr">
        <is>
          <t>Y neuron Y3</t>
        </is>
      </c>
      <c r="C941" t="inlineStr">
        <is>
          <t>Y3</t>
        </is>
      </c>
      <c r="D941" t="inlineStr">
        <is>
          <t>Wide-field Y neuron with a mix of bleb-type and fine arborizations in the lobula plate. These show some stratification, but cover all layers to some extent. The medulla branch has a relatively wide, terminal arborization field in M8-10 with a mix of bleb-type and fine arborization. The lobula innervating branch has narrow arborizations, also of mixed type in layers 2-5 (Morante and Desplan, 2008; Fischbach and Dittrich, 1989).</t>
        </is>
      </c>
      <c r="E941" t="inlineStr">
        <is>
          <t>Fischbach and Dittrich, 1989, Cell Tissue Res. 258(3): 441--475 (flybase.org/reports/FBrf0049410); Morante and Desplan, 2008, Curr. Biol. 18(8): 553--565 (flybase.org/reports/FBrf0204652)</t>
        </is>
      </c>
      <c r="F941" t="inlineStr"/>
      <c r="G941" t="inlineStr"/>
      <c r="H941" t="inlineStr"/>
    </row>
    <row r="942">
      <c r="A942">
        <f>HYPERLINK("https://www.ebi.ac.uk/ols/ontologies/fbbt/terms?iri=http://purl.obolibrary.org/obo/FBbt_00003912","FBbt:00003912")</f>
        <v/>
      </c>
      <c r="B942" t="inlineStr">
        <is>
          <t>Y neuron Y1</t>
        </is>
      </c>
      <c r="C942" t="inlineStr">
        <is>
          <t>Y1</t>
        </is>
      </c>
      <c r="D942" t="inlineStr">
        <is>
          <t>Wide-field Y neuron with a wide, unstratified arborization field in all layers of the lobula plate, a wide, thin, terminal arborization domain in lobula layer 5 and a small terminal arborization domain in medulla layer M8 (Morante and Desplan, 2008; Fischbach and Dittrich, 1989). It is a glutamatergic neuron (Raghu and Borst, 2011).</t>
        </is>
      </c>
      <c r="E942" t="inlineStr">
        <is>
          <t>Fischbach and Dittrich, 1989, Cell Tissue Res. 258(3): 441--475 (flybase.org/reports/FBrf0049410); Morante and Desplan, 2008, Curr. Biol. 18(8): 553--565 (flybase.org/reports/FBrf0204652); Raghu and Borst, 2011, PLoS ONE 6(5): e19472 (flybase.org/reports/FBrf0213690)</t>
        </is>
      </c>
      <c r="F942" t="inlineStr"/>
      <c r="G942" t="inlineStr"/>
      <c r="H942" t="inlineStr"/>
    </row>
    <row r="943">
      <c r="A943">
        <f>HYPERLINK("https://www.ebi.ac.uk/ols/ontologies/fbbt/terms?iri=http://purl.obolibrary.org/obo/FBbt_00110085","FBbt:00110085")</f>
        <v/>
      </c>
      <c r="B943" t="inlineStr">
        <is>
          <t>medullary intrinsic neuron ChaMinew3</t>
        </is>
      </c>
      <c r="C943" t="inlineStr">
        <is>
          <t>Minew3; ChaMinew3</t>
        </is>
      </c>
      <c r="D943" t="inlineStr">
        <is>
          <t>Medullary intrinsic neuron that forms arborizations in medulla layers M3 to M7. It is very similar to Dm3, except that it shows blob-like protrusions in its terminals. It is a cholinergic neuron (Varija Raghu et al., 2011).</t>
        </is>
      </c>
      <c r="E943" t="inlineStr">
        <is>
          <t>Fischbach and Dittrich, 1989, Cell Tissue Res. 258(3): 441--475 (flybase.org/reports/FBrf0049410); Varija Raghu et al., 2011, J. Comp. Neurol. 519(1): 162--176 (flybase.org/reports/FBrf0212356)</t>
        </is>
      </c>
      <c r="F943" t="inlineStr"/>
      <c r="G943" t="inlineStr"/>
      <c r="H943" t="inlineStr"/>
    </row>
    <row r="944">
      <c r="A944">
        <f>HYPERLINK("https://www.ebi.ac.uk/ols/ontologies/fbbt/terms?iri=http://purl.obolibrary.org/obo/FBbt_00003910","FBbt:00003910")</f>
        <v/>
      </c>
      <c r="B944" t="inlineStr">
        <is>
          <t>lobula plate intrinsic neuron LPi</t>
        </is>
      </c>
      <c r="C944" t="inlineStr">
        <is>
          <t>LPi; lobula plate intrinsic neuron</t>
        </is>
      </c>
      <c r="D944" t="inlineStr">
        <is>
          <t>An interneuron that innervates only the lobula plate (Raghu and Borst, 2011).</t>
        </is>
      </c>
      <c r="E944" t="inlineStr">
        <is>
          <t>Raghu and Borst, 2011, PLoS ONE 6(5): e19472 (flybase.org/reports/FBrf0213690)</t>
        </is>
      </c>
      <c r="F944" t="inlineStr"/>
      <c r="G944" t="inlineStr"/>
      <c r="H944" t="inlineStr"/>
    </row>
    <row r="945">
      <c r="A945">
        <f>HYPERLINK("https://www.ebi.ac.uk/ols/ontologies/fbbt/terms?iri=http://purl.obolibrary.org/obo/FBbt_00110095","FBbt:00110095")</f>
        <v/>
      </c>
      <c r="B945" t="inlineStr">
        <is>
          <t>distal medullary amacrine neuron vGlutDmnew1</t>
        </is>
      </c>
      <c r="C945" t="inlineStr">
        <is>
          <t>Dmnew1; vGlutDmnew1</t>
        </is>
      </c>
      <c r="D945" t="inlineStr">
        <is>
          <t>Distal medullary amacrine neuron that branches extensively in medulla layers M1 to M4, with blob-like protrusions at the terminals. It is a glutamatergic neuron (Raghu and Borst, 2011).</t>
        </is>
      </c>
      <c r="E945" t="inlineStr">
        <is>
          <t>Raghu and Borst, 2011, PLoS ONE 6(5): e19472 (flybase.org/reports/FBrf0213690)</t>
        </is>
      </c>
      <c r="F945" t="inlineStr"/>
      <c r="G945" t="inlineStr"/>
      <c r="H945" t="inlineStr"/>
    </row>
    <row r="946">
      <c r="A946">
        <f>HYPERLINK("https://www.ebi.ac.uk/ols/ontologies/fbbt/terms?iri=http://purl.obolibrary.org/obo/FBbt_00110094","FBbt:00110094")</f>
        <v/>
      </c>
      <c r="B946" t="inlineStr">
        <is>
          <t>medullary intrinsic neuron vGlutMinew1</t>
        </is>
      </c>
      <c r="C946" t="inlineStr">
        <is>
          <t>vGlutMinew1; Minew1</t>
        </is>
      </c>
      <c r="D946" t="inlineStr">
        <is>
          <t>Medullary intrinsic neuron which projects along one medulla column without forming many lateral branches until it reaches layers M8 and M9, where it arborizes extensively. It is a glutamatergic neuron (Raghu and Borst, 2011).</t>
        </is>
      </c>
      <c r="E946" t="inlineStr">
        <is>
          <t>Raghu and Borst, 2011, PLoS ONE 6(5): e19472 (flybase.org/reports/FBrf0213690)</t>
        </is>
      </c>
      <c r="F946" t="inlineStr"/>
      <c r="G946" t="inlineStr"/>
      <c r="H946" t="inlineStr"/>
    </row>
    <row r="947">
      <c r="A947">
        <f>HYPERLINK("https://www.ebi.ac.uk/ols/ontologies/fbbt/terms?iri=http://purl.obolibrary.org/obo/FBbt_00003898","FBbt:00003898")</f>
        <v/>
      </c>
      <c r="B947" t="inlineStr">
        <is>
          <t>translobula plate neuron Tlp8</t>
        </is>
      </c>
      <c r="C947" t="inlineStr">
        <is>
          <t>translobula-plate neuron Tpl8; translobula-plate neuron Tlp8; Tpl8; Tlp8; translobullar plate neuron Tpl8; translobullar plate neuron Tlp8</t>
        </is>
      </c>
      <c r="D947" t="inlineStr">
        <is>
          <t>Translobula plate neuron that arborizes in the lobula and lobula plate.</t>
        </is>
      </c>
      <c r="E947" t="inlineStr">
        <is>
          <t>Fischbach and Dittrich, 1989, Cell Tissue Res. 258(3): 441--475 (flybase.org/reports/FBrf0049410)</t>
        </is>
      </c>
      <c r="F947" t="inlineStr"/>
      <c r="G947" t="inlineStr"/>
      <c r="H947" t="inlineStr"/>
    </row>
    <row r="948">
      <c r="A948">
        <f>HYPERLINK("https://www.ebi.ac.uk/ols/ontologies/fbbt/terms?iri=http://purl.obolibrary.org/obo/FBbt_00003899","FBbt:00003899")</f>
        <v/>
      </c>
      <c r="B948" t="inlineStr">
        <is>
          <t>translobula plate neuron Tlp9</t>
        </is>
      </c>
      <c r="C948" t="inlineStr">
        <is>
          <t>translobula-plate neuron Tpl9; translobula-plate neuron Tlp9; Tpl9; Tlp9; translobullar plate neuron Tpl9; translobullar plate neuron Tlp9</t>
        </is>
      </c>
      <c r="D948" t="inlineStr">
        <is>
          <t>Translobula plate neuron that arborizes in the lobula and lobula plate.</t>
        </is>
      </c>
      <c r="E948" t="inlineStr">
        <is>
          <t>Fischbach and Dittrich, 1989, Cell Tissue Res. 258(3): 441--475 (flybase.org/reports/FBrf0049410)</t>
        </is>
      </c>
      <c r="F948" t="inlineStr"/>
      <c r="G948" t="inlineStr"/>
      <c r="H948" t="inlineStr"/>
    </row>
    <row r="949">
      <c r="A949">
        <f>HYPERLINK("https://www.ebi.ac.uk/ols/ontologies/fbbt/terms?iri=http://purl.obolibrary.org/obo/FBbt_00003896","FBbt:00003896")</f>
        <v/>
      </c>
      <c r="B949" t="inlineStr">
        <is>
          <t>translobula plate neuron Tlp6</t>
        </is>
      </c>
      <c r="C949" t="inlineStr">
        <is>
          <t>translobullar plate neuron Tpl6; translobullar plate neuron Tlp6; translobula-plate neuron Tpl6; translobula-plate neuron Tlp6; Tpl6; Tlp6</t>
        </is>
      </c>
      <c r="D949" t="inlineStr">
        <is>
          <t>Translobula plate neuron that arborizes in the lobula and lobula plate.</t>
        </is>
      </c>
      <c r="E949" t="inlineStr">
        <is>
          <t>Fischbach and Dittrich, 1989, Cell Tissue Res. 258(3): 441--475 (flybase.org/reports/FBrf0049410)</t>
        </is>
      </c>
      <c r="F949" t="inlineStr"/>
      <c r="G949" t="inlineStr"/>
      <c r="H949" t="inlineStr"/>
    </row>
    <row r="950">
      <c r="A950">
        <f>HYPERLINK("https://www.ebi.ac.uk/ols/ontologies/fbbt/terms?iri=http://purl.obolibrary.org/obo/FBbt_00110096","FBbt:00110096")</f>
        <v/>
      </c>
      <c r="B950" t="inlineStr">
        <is>
          <t>medullary intrinsic neuron vGlutMinew2</t>
        </is>
      </c>
      <c r="C950" t="inlineStr">
        <is>
          <t>Minew2; Mia; vGlutMinew2</t>
        </is>
      </c>
      <c r="D950" t="inlineStr">
        <is>
          <t>Medullary intrinsic neuron which arborizes in medulla layer M1 and then projects along one medulla column without forming many lateral branches until it reaches layers M7 to M9, where it arborizes extensively. In M1, it contacts 14-15 columns in both the anterior-posterior and dorsal-ventral axes. In M7-M9 it innervates four to five columns in the dorsal-ventral axis (Jagadish et al., 2014). It is a glutamatergic neuron (Raghu and Borst, 2011).</t>
        </is>
      </c>
      <c r="E950" t="inlineStr">
        <is>
          <t>Raghu and Borst, 2011, PLoS ONE 6(5): e19472 (flybase.org/reports/FBrf0213690); Jagadish et al., 2014, Neuron 83(3): 630--644 (flybase.org/reports/FBrf0225846)</t>
        </is>
      </c>
      <c r="F950" t="inlineStr"/>
      <c r="G950" t="inlineStr"/>
      <c r="H950" t="inlineStr"/>
    </row>
    <row r="951">
      <c r="A951">
        <f>HYPERLINK("https://www.ebi.ac.uk/ols/ontologies/fbbt/terms?iri=http://purl.obolibrary.org/obo/FBbt_00003897","FBbt:00003897")</f>
        <v/>
      </c>
      <c r="B951" t="inlineStr">
        <is>
          <t>translobula plate neuron Tlp7</t>
        </is>
      </c>
      <c r="C951" t="inlineStr">
        <is>
          <t>translobullar plate neuron Tpl7; translobullar plate neuron Tlp7; translobula-plate neuron Tpl7; translobula-plate neuron Tlp7; Tpl7; Tlp7</t>
        </is>
      </c>
      <c r="D951" t="inlineStr">
        <is>
          <t>Translobula plate neuron that arborizes in the lobula and lobula plate.</t>
        </is>
      </c>
      <c r="E951" t="inlineStr">
        <is>
          <t>Fischbach and Dittrich, 1989, Cell Tissue Res. 258(3): 441--475 (flybase.org/reports/FBrf0049410)</t>
        </is>
      </c>
      <c r="F951" t="inlineStr"/>
      <c r="G951" t="inlineStr"/>
      <c r="H951" t="inlineStr"/>
    </row>
    <row r="952">
      <c r="A952">
        <f>HYPERLINK("https://www.ebi.ac.uk/ols/ontologies/fbbt/terms?iri=http://purl.obolibrary.org/obo/FBbt_00007509","FBbt:00007509")</f>
        <v/>
      </c>
      <c r="B952" t="inlineStr">
        <is>
          <t>median fan-shaped neuron Fm1</t>
        </is>
      </c>
      <c r="C952" t="inlineStr">
        <is>
          <t>Fm1; Fm1 neuron</t>
        </is>
      </c>
      <c r="D952" t="inlineStr">
        <is>
          <t>Median fan-shaped neuron Fm whose perikarya lie in a dorso-caudal cluster near to the mushroom body calyx and have a domain of spiny fibers in the dorso-lateral protocerebrum.</t>
        </is>
      </c>
      <c r="E952" t="inlineStr">
        <is>
          <t>Hanesch et al., 1989, Cell Tissue Res. 257(2): 343--366 (flybase.org/reports/FBrf0049409)</t>
        </is>
      </c>
      <c r="F952" t="inlineStr"/>
      <c r="G952" t="inlineStr"/>
      <c r="H952" t="inlineStr"/>
    </row>
    <row r="953">
      <c r="A953">
        <f>HYPERLINK("https://www.ebi.ac.uk/ols/ontologies/fbbt/terms?iri=http://purl.obolibrary.org/obo/FBbt_00003894","FBbt:00003894")</f>
        <v/>
      </c>
      <c r="B953" t="inlineStr">
        <is>
          <t>translobula plate neuron Tlp4</t>
        </is>
      </c>
      <c r="C953" t="inlineStr">
        <is>
          <t>Tlp4; translobullar plate neuron Tlp4; translobullar plate neuron Tpl4; translobula-plate neuron Tlp4; translobula-plate neuron Tpl4; Tpl4</t>
        </is>
      </c>
      <c r="D953" t="inlineStr">
        <is>
          <t>Translobula plate neuron that terminates in lobula layer 4 with fine terminals. It displays both fine and bleb-type arborizations in lobula plate layer 2, but only fine arborizations in lobula plate layer 3.</t>
        </is>
      </c>
      <c r="E953" t="inlineStr">
        <is>
          <t>Fischbach and Dittrich, 1989, Cell Tissue Res. 258(3): 441--475 (flybase.org/reports/FBrf0049410)</t>
        </is>
      </c>
      <c r="F953" t="inlineStr"/>
      <c r="G953" t="inlineStr"/>
      <c r="H953" t="inlineStr"/>
    </row>
    <row r="954">
      <c r="A954">
        <f>HYPERLINK("https://www.ebi.ac.uk/ols/ontologies/fbbt/terms?iri=http://purl.obolibrary.org/obo/FBbt_00003895","FBbt:00003895")</f>
        <v/>
      </c>
      <c r="B954" t="inlineStr">
        <is>
          <t>translobula plate neuron Tlp5</t>
        </is>
      </c>
      <c r="C954" t="inlineStr">
        <is>
          <t>translobullar plate neuron Tpl5; translobullar plate neuron Tlp5; Tlp5; translobula-plate neuron Tpl5; translobula-plate neuron Tlp5; Tpl5</t>
        </is>
      </c>
      <c r="D954" t="inlineStr">
        <is>
          <t>Translobula plate neuron that terminates in lobula layer 4 with bleb-type terminals. It displays both fine and bleb-type arborizations in lobula plate layers 1 and 2, but only fine arborizations in lobula plate layer 3.</t>
        </is>
      </c>
      <c r="E954" t="inlineStr">
        <is>
          <t>Fischbach and Dittrich, 1989, Cell Tissue Res. 258(3): 441--475 (flybase.org/reports/FBrf0049410)</t>
        </is>
      </c>
      <c r="F954" t="inlineStr"/>
      <c r="G954" t="inlineStr"/>
      <c r="H954" t="inlineStr"/>
    </row>
    <row r="955">
      <c r="A955">
        <f>HYPERLINK("https://www.ebi.ac.uk/ols/ontologies/fbbt/terms?iri=http://purl.obolibrary.org/obo/FBbt_00003891","FBbt:00003891")</f>
        <v/>
      </c>
      <c r="B955" t="inlineStr">
        <is>
          <t>translobula plate neuron Tlp1</t>
        </is>
      </c>
      <c r="C955" t="inlineStr">
        <is>
          <t>translobula-plate neuron Tlp1; translobula-plate neuron Tpl1; Tpl1; Tlp1; translobullar plate neuron Tlp1; translobullar plate neuron Tpl1</t>
        </is>
      </c>
      <c r="D955" t="inlineStr">
        <is>
          <t>Translobula plate neuron that terminates in lobula layer 5 with bleb-type terminals. It displays both fine and bleb-like extensive arborizations in lobula plate layers 1, 2 and 4, but only fine arborizations in lobula plate layer 3. It is a glutamatergic neuron (Raghu and Borst, 2011).</t>
        </is>
      </c>
      <c r="E955" t="inlineStr">
        <is>
          <t>Fischbach and Dittrich, 1989, Cell Tissue Res. 258(3): 441--475 (flybase.org/reports/FBrf0049410); Raghu and Borst, 2011, PLoS ONE 6(5): e19472 (flybase.org/reports/FBrf0213690)</t>
        </is>
      </c>
      <c r="F955" t="inlineStr"/>
      <c r="G955" t="inlineStr"/>
      <c r="H955" t="inlineStr"/>
    </row>
    <row r="956">
      <c r="A956">
        <f>HYPERLINK("https://www.ebi.ac.uk/ols/ontologies/fbbt/terms?iri=http://purl.obolibrary.org/obo/FBbt_00110093","FBbt:00110093")</f>
        <v/>
      </c>
      <c r="B956" t="inlineStr">
        <is>
          <t>medullary intrinsic amacrine neuron vGlutMi Amnew1</t>
        </is>
      </c>
      <c r="C956" t="inlineStr">
        <is>
          <t>Mi Amnew1; vGlutMi Amnew1</t>
        </is>
      </c>
      <c r="D956" t="inlineStr">
        <is>
          <t>Medullary intrinsic neuron that forms arborizations in medulla layers M5 to M7 and whose cell body is in the posterior part of the medulla. It is a glutamatergic neuron (Raghu and Borst, 2011).</t>
        </is>
      </c>
      <c r="E956" t="inlineStr">
        <is>
          <t>Raghu and Borst, 2011, PLoS ONE 6(5): e19472 (flybase.org/reports/FBrf0213690)</t>
        </is>
      </c>
      <c r="F956" t="inlineStr"/>
      <c r="G956" t="inlineStr"/>
      <c r="H956" t="inlineStr"/>
    </row>
    <row r="957">
      <c r="A957">
        <f>HYPERLINK("https://www.ebi.ac.uk/ols/ontologies/fbbt/terms?iri=http://purl.obolibrary.org/obo/FBbt_00003893","FBbt:00003893")</f>
        <v/>
      </c>
      <c r="B957" t="inlineStr">
        <is>
          <t>translobula plate neuron Tlp3</t>
        </is>
      </c>
      <c r="C957" t="inlineStr">
        <is>
          <t>Tpl3; translobullar plate neuron Tlp3; translobullar plate neuron Tpl3; Tlp3; translobula-plate neuron Tlp3; translobula-plate neuron Tpl3</t>
        </is>
      </c>
      <c r="D957" t="inlineStr">
        <is>
          <t>Translobula plate neuron that terminates in lobula layer 4 with both fine and bleb-type terminals. It displays both fine and bleb-type arborizations in lobula plate layer 3 and 4. It is a glutamatergic neuron (Raghu and Borst, 2011).</t>
        </is>
      </c>
      <c r="E957" t="inlineStr">
        <is>
          <t>Fischbach and Dittrich, 1989, Cell Tissue Res. 258(3): 441--475 (flybase.org/reports/FBrf0049410); Raghu and Borst, 2011, PLoS ONE 6(5): e19472 (flybase.org/reports/FBrf0213690)</t>
        </is>
      </c>
      <c r="F957" t="inlineStr"/>
      <c r="G957" t="inlineStr"/>
      <c r="H957" t="inlineStr"/>
    </row>
    <row r="958">
      <c r="A958">
        <f>HYPERLINK("https://www.ebi.ac.uk/ols/ontologies/fbbt/terms?iri=http://purl.obolibrary.org/obo/FBbt_00003892","FBbt:00003892")</f>
        <v/>
      </c>
      <c r="B958" t="inlineStr">
        <is>
          <t>translobula plate neuron Tlp2</t>
        </is>
      </c>
      <c r="C958" t="inlineStr">
        <is>
          <t>translobullar plate neuron Tlp2; translobullar plate neuron Tpl2; translobula-plate neuron Tlp2; translobula-plate neuron Tpl2; Tlp2</t>
        </is>
      </c>
      <c r="D958" t="inlineStr">
        <is>
          <t>Translobula plate neuron that terminates in lobula layer 4 with bleb-type terminals. It displays both fine and bleb-type arborizations in lobula plate layer 1, but only fine, bushy arborizations in lobula plate layer 2. It is a cholinergic neuron (Varija Raghu et al., 2011).</t>
        </is>
      </c>
      <c r="E958" t="inlineStr">
        <is>
          <t>Fischbach and Dittrich, 1989, Cell Tissue Res. 258(3): 441--475 (flybase.org/reports/FBrf0049410); Varija Raghu et al., 2011, J. Comp. Neurol. 519(1): 162--176 (flybase.org/reports/FBrf0212356)</t>
        </is>
      </c>
      <c r="F958" t="inlineStr"/>
      <c r="G958" t="inlineStr"/>
      <c r="H958" t="inlineStr"/>
    </row>
    <row r="959">
      <c r="A959">
        <f>HYPERLINK("https://www.ebi.ac.uk/ols/ontologies/fbbt/terms?iri=http://purl.obolibrary.org/obo/FBbt_00110989","FBbt:00110989")</f>
        <v/>
      </c>
      <c r="B959" t="inlineStr">
        <is>
          <t>transmedullary Y neuron Rh6TmY</t>
        </is>
      </c>
      <c r="C959" t="inlineStr">
        <is>
          <t>Rh6TmY</t>
        </is>
      </c>
      <c r="D959" t="inlineStr">
        <is>
          <t>Transmedullary Y neuron that projects to medulla layers M7-M10, to all four lobula plate layers and to the innermost lobula layer (Lo1) in a columnar manner. In the medulla, it contacts two to three columns while in the lobula it is three columns. It is synapsed by the photoreceptor cell R8 of yellow ommatidium.</t>
        </is>
      </c>
      <c r="E959" t="inlineStr">
        <is>
          <t>Jagadish et al., 2014, Neuron 83(3): 630--644 (flybase.org/reports/FBrf0225846)</t>
        </is>
      </c>
      <c r="F959" t="inlineStr"/>
      <c r="G959" t="inlineStr"/>
      <c r="H959" t="inlineStr"/>
    </row>
    <row r="960">
      <c r="A960">
        <f>HYPERLINK("https://www.ebi.ac.uk/ols/ontologies/fbbt/terms?iri=http://purl.obolibrary.org/obo/FBbt_00110987","FBbt:00110987")</f>
        <v/>
      </c>
      <c r="B960" t="inlineStr">
        <is>
          <t>transmedullary Y neuron Rh4TmY</t>
        </is>
      </c>
      <c r="C960" t="inlineStr">
        <is>
          <t>Rh4TmY</t>
        </is>
      </c>
      <c r="D960" t="inlineStr">
        <is>
          <t>Transmedullary Y neuron that projects to medulla layers M7-M10, to all four lobula plate layers and to the innermost lobula layer (Lo1) in a columnar manner. In the medulla, it contacts to two to three columns while in the lobula it is three columns. It is synapsed by the photoreceptor cell R7 of yellow ommatidium.</t>
        </is>
      </c>
      <c r="E960" t="inlineStr">
        <is>
          <t>Jagadish et al., 2014, Neuron 83(3): 630--644 (flybase.org/reports/FBrf0225846)</t>
        </is>
      </c>
      <c r="F960" t="inlineStr"/>
      <c r="G960" t="inlineStr"/>
      <c r="H960" t="inlineStr"/>
    </row>
    <row r="961">
      <c r="A961">
        <f>HYPERLINK("https://www.ebi.ac.uk/ols/ontologies/fbbt/terms?iri=http://purl.obolibrary.org/obo/FBbt_00110988","FBbt:00110988")</f>
        <v/>
      </c>
      <c r="B961" t="inlineStr">
        <is>
          <t>transmedullary Y neuron Rh5TmY</t>
        </is>
      </c>
      <c r="C961" t="inlineStr">
        <is>
          <t>Rh5TmY</t>
        </is>
      </c>
      <c r="D961" t="inlineStr">
        <is>
          <t>Transmedullary Y neuron that projects to medulla layers M7-M10, to all four lobula plate layers and to the innermost lobula layer (Lo1) in a columnar manner. In the medulla, it contacts to two to three columns while in the lobula it is three columns. It is synapsed by the photoreceptor cell R8 of pale ommatidium.</t>
        </is>
      </c>
      <c r="E961" t="inlineStr">
        <is>
          <t>Jagadish et al., 2014, Neuron 83(3): 630--644 (flybase.org/reports/FBrf0225846)</t>
        </is>
      </c>
      <c r="F961" t="inlineStr"/>
      <c r="G961" t="inlineStr"/>
      <c r="H961" t="inlineStr"/>
    </row>
    <row r="962">
      <c r="A962">
        <f>HYPERLINK("https://www.ebi.ac.uk/ols/ontologies/fbbt/terms?iri=http://purl.obolibrary.org/obo/FBbt_00003769","FBbt:00003769")</f>
        <v/>
      </c>
      <c r="B962" t="inlineStr">
        <is>
          <t>distal medullary amacrine neuron Dm2</t>
        </is>
      </c>
      <c r="C962" t="inlineStr">
        <is>
          <t>Dm2</t>
        </is>
      </c>
      <c r="D962" t="inlineStr">
        <is>
          <t>Distal medullary wide-field amacrine neuron whose cell body is located in the cell body rind of the medulla. It terminates with a small bushy arbor with mixed terminal morphology in layers M3-M6B. The arbors in M6B extend into neighboring columns on the dorsal side. The small arbors cover 2 columns in M6 and one in the other layers. In the medulla it receives input from lamina monopolar neuron L5 (Takemura et al., 2013).</t>
        </is>
      </c>
      <c r="E962" t="inlineStr">
        <is>
          <t>Fischbach and Dittrich, 1989, Cell Tissue Res. 258(3): 441--475 (flybase.org/reports/FBrf0049410); Morante and Desplan, 2008, Curr. Biol. 18(8): 553--565 (flybase.org/reports/FBrf0204652); Takemura et al., 2013, Nature 500(7461): 175--181 (flybase.org/reports/FBrf0222324); Nern et al., 2015, Proc. Natl. Acad. Sci. U.S.A. 112(22): E2967--E2976 (flybase.org/reports/FBrf0228639)</t>
        </is>
      </c>
      <c r="F962" t="inlineStr"/>
      <c r="G962" t="inlineStr"/>
      <c r="H962" t="inlineStr"/>
    </row>
    <row r="963">
      <c r="A963">
        <f>HYPERLINK("https://www.ebi.ac.uk/ols/ontologies/fbbt/terms?iri=http://purl.obolibrary.org/obo/FBbt_00100527","FBbt:00100527")</f>
        <v/>
      </c>
      <c r="B963" t="inlineStr">
        <is>
          <t>adult inner optic chiasma giant glial cell</t>
        </is>
      </c>
      <c r="C963" t="inlineStr">
        <is>
          <t>adult inner optic chiasm giant glial cell; giant glial cell; adult inner optic chiasm large glial cell</t>
        </is>
      </c>
      <c r="D963" t="inlineStr">
        <is>
          <t>Large glial cell of the inner optic chiasm of the adult optic lobe. It extends many cytoplasmic processes that enwraps fiber bundles at and near the sites of axonal intersection (Tix et al., 1997).</t>
        </is>
      </c>
      <c r="E963" t="inlineStr">
        <is>
          <t>Tix et al., 1997, Cell Tissue Res. 289(3): 397--409 (flybase.org/reports/FBrf0096428)</t>
        </is>
      </c>
      <c r="F963" t="inlineStr"/>
      <c r="G963" t="inlineStr"/>
      <c r="H963" t="inlineStr"/>
    </row>
    <row r="964">
      <c r="A964">
        <f>HYPERLINK("https://www.ebi.ac.uk/ols/ontologies/fbbt/terms?iri=http://purl.obolibrary.org/obo/FBbt_00003768","FBbt:00003768")</f>
        <v/>
      </c>
      <c r="B964" t="inlineStr">
        <is>
          <t>distal medullary amacrine neuron Dm1</t>
        </is>
      </c>
      <c r="C964" t="inlineStr">
        <is>
          <t>Dm1</t>
        </is>
      </c>
      <c r="D964" t="inlineStr">
        <is>
          <t>Distal medullary wide-field amacrine neuron whose cell body is located in the anterior region of the cell body rind of the medulla. It branches extensively at the distal surface of the medulla forming a moderately broad arbor with each branch making a distinctive bouton-like terminal in the region between M1 and M2 (in the same sublayer as Dm18, and more proximal than Dm9 and Dm10 in M1), from which short, fine terminal branches project (Morante and Desplan, 2008; Fischbach and Dittrich, 1989). The arbor varies in shape between cells, covering around 20-30 columns, but with these areas overlapping. The size of the terminals of Dm1 is smaller than those of Dm18. There are around 40 Dm1 neurons per hemisphere.</t>
        </is>
      </c>
      <c r="E964" t="inlineStr">
        <is>
          <t>Fischbach and Dittrich, 1989, Cell Tissue Res. 258(3): 441--475 (flybase.org/reports/FBrf0049410); Morante and Desplan, 2008, Curr. Biol. 18(8): 553--565 (flybase.org/reports/FBrf0204652); Nern et al., 2015, Proc. Natl. Acad. Sci. U.S.A. 112(22): E2967--E2976 (flybase.org/reports/FBrf0228639)</t>
        </is>
      </c>
      <c r="F964" t="inlineStr"/>
      <c r="G964" t="inlineStr"/>
      <c r="H964" t="inlineStr"/>
    </row>
    <row r="965">
      <c r="A965">
        <f>HYPERLINK("https://www.ebi.ac.uk/ols/ontologies/fbbt/terms?iri=http://purl.obolibrary.org/obo/FBbt_00111080","FBbt:00111080")</f>
        <v/>
      </c>
      <c r="B965" t="inlineStr">
        <is>
          <t>medulla non-directional M6 local neuron 13</t>
        </is>
      </c>
      <c r="C965" t="inlineStr">
        <is>
          <t>nondirectional M6-LN13</t>
        </is>
      </c>
      <c r="D965" t="inlineStr">
        <is>
          <t>Non-directional local neuron that is restricted to layer 6 of the medulla. Its soma is in the dorsal region of the lateral cell body rind. This neuron arborizes in the posterior region of the M6 layer, extending anterioposteriorly, covering around 74 columns. It is a GABAergic neuron.</t>
        </is>
      </c>
      <c r="E965" t="inlineStr">
        <is>
          <t>Chin et al., 2014, J. Comp. Neurol. 522(17): 3795--3816 (flybase.org/reports/FBrf0226257)</t>
        </is>
      </c>
      <c r="F965" t="inlineStr"/>
      <c r="G965" t="inlineStr"/>
      <c r="H965" t="inlineStr"/>
    </row>
    <row r="966">
      <c r="A966">
        <f>HYPERLINK("https://www.ebi.ac.uk/ols/ontologies/fbbt/terms?iri=http://purl.obolibrary.org/obo/FBbt_00111279","FBbt:00111279")</f>
        <v/>
      </c>
      <c r="B966" t="inlineStr">
        <is>
          <t>distal medullary amacrine neuron Dm18</t>
        </is>
      </c>
      <c r="C966" t="inlineStr">
        <is>
          <t>None</t>
        </is>
      </c>
      <c r="D966" t="inlineStr">
        <is>
          <t>Distal medullary wide-field amacrine neuron whose cell body is located in the cell body rind of the medulla. Its primary neurite branches in the boundary between M1 and M2 layers, in the same sublayer as Dm1. The arbors form a grid-like arrangement and cover around 50-100 columns. The arbor is located in a peripheral intracolumnar position. There are around 20 Dm18 neurons per hemisphere.</t>
        </is>
      </c>
      <c r="E966" t="inlineStr">
        <is>
          <t>Nern et al., 2015, Proc. Natl. Acad. Sci. U.S.A. 112(22): E2967--E2976 (flybase.org/reports/FBrf0228639)</t>
        </is>
      </c>
      <c r="F966" t="inlineStr"/>
      <c r="G966" t="inlineStr"/>
      <c r="H966" t="inlineStr"/>
    </row>
    <row r="967">
      <c r="A967">
        <f>HYPERLINK("https://www.ebi.ac.uk/ols/ontologies/fbbt/terms?iri=http://purl.obolibrary.org/obo/FBbt_00110986","FBbt:00110986")</f>
        <v/>
      </c>
      <c r="B967" t="inlineStr">
        <is>
          <t>transmedullary Y neuron Rh3TmY</t>
        </is>
      </c>
      <c r="C967" t="inlineStr">
        <is>
          <t>Rh3TmY</t>
        </is>
      </c>
      <c r="D967" t="inlineStr">
        <is>
          <t>Transmedullary Y neuron that projects to medulla layers M7-M10, to all four lobula plate layers and to the innermost lobula layer (Lo1) in a columnar manner. In the medulla, it contacts to two to three columns while in the lobula it is three columns. It is synapsed by the photoreceptor cell R7 of pale ommatidium.</t>
        </is>
      </c>
      <c r="E967" t="inlineStr">
        <is>
          <t>Jagadish et al., 2014, Neuron 83(3): 630--644 (flybase.org/reports/FBrf0225846)</t>
        </is>
      </c>
      <c r="F967" t="inlineStr"/>
      <c r="G967" t="inlineStr"/>
      <c r="H967" t="inlineStr"/>
    </row>
    <row r="968">
      <c r="A968">
        <f>HYPERLINK("https://www.ebi.ac.uk/ols/ontologies/fbbt/terms?iri=http://purl.obolibrary.org/obo/FBbt_00007510","FBbt:00007510")</f>
        <v/>
      </c>
      <c r="B968" t="inlineStr">
        <is>
          <t>median fan-shaped neuron Fm2</t>
        </is>
      </c>
      <c r="C968" t="inlineStr">
        <is>
          <t>Fm2 neuron; Fm2</t>
        </is>
      </c>
      <c r="D968" t="inlineStr">
        <is>
          <t>Median fan-shaped neuron Fm whose perikarya lie close to those of the R neurons (FBbt:00007507) whose projections they fasciculate with in the RF tract. They have spiny arborizations in the ipsilateral lateral accessory lobe (ventral body).</t>
        </is>
      </c>
      <c r="E968" t="inlineStr">
        <is>
          <t>Hanesch et al., 1989, Cell Tissue Res. 257(2): 343--366 (flybase.org/reports/FBrf0049409)</t>
        </is>
      </c>
      <c r="F968" t="inlineStr"/>
      <c r="G968" t="inlineStr"/>
      <c r="H968" t="inlineStr"/>
    </row>
    <row r="969">
      <c r="A969">
        <f>HYPERLINK("https://www.ebi.ac.uk/ols/ontologies/fbbt/terms?iri=http://purl.obolibrary.org/obo/FBbt_00111276","FBbt:00111276")</f>
        <v/>
      </c>
      <c r="B969" t="inlineStr">
        <is>
          <t>distal medullary amacrine neuron Dm15</t>
        </is>
      </c>
      <c r="C969" t="inlineStr">
        <is>
          <t>None</t>
        </is>
      </c>
      <c r="D969" t="inlineStr">
        <is>
          <t>Distal medullary wide-field amacrine neuron whose cell body is located in the cell body rind of the medulla. Its primary neurite branches in the M2 layer, in the same sublayer as Dm14, Dm17 and Dm19 though its branches extend slightly deeper. The arbor resembles an ellipse, overlapping with that of other cells, and with the longer axis oriented at a slight angle to the anterior-posterior axis. It covers less than 10 columns. The arbor is located in a peripheral intracolumnar position. There are around 250 Dm15 neurons per hemisphere.</t>
        </is>
      </c>
      <c r="E969" t="inlineStr">
        <is>
          <t>Nern et al., 2015, Proc. Natl. Acad. Sci. U.S.A. 112(22): E2967--E2976 (flybase.org/reports/FBrf0228639)</t>
        </is>
      </c>
      <c r="F969" t="inlineStr"/>
      <c r="G969" t="inlineStr"/>
      <c r="H969" t="inlineStr"/>
    </row>
    <row r="970">
      <c r="A970">
        <f>HYPERLINK("https://www.ebi.ac.uk/ols/ontologies/fbbt/terms?iri=http://purl.obolibrary.org/obo/FBbt_00111275","FBbt:00111275")</f>
        <v/>
      </c>
      <c r="B970" t="inlineStr">
        <is>
          <t>distal medullary amacrine neuron Dm14</t>
        </is>
      </c>
      <c r="C970" t="inlineStr">
        <is>
          <t>None</t>
        </is>
      </c>
      <c r="D970" t="inlineStr">
        <is>
          <t>Distal medullary wide-field amacrine neuron whose cell body is located in dorsal anterior region of the cell body rind of the medulla. Its primary neurite branches in the M2 layer, in the same sublayer as Dm17 and Dm19. The arbors overlap, forming a grid-like arrangement and covering around 50-100 columns. The arbor is located in a peripheral intracolumnar position. There are around 15 Dm14 neurons per hemisphere.</t>
        </is>
      </c>
      <c r="E970" t="inlineStr">
        <is>
          <t>Nern et al., 2015, Proc. Natl. Acad. Sci. U.S.A. 112(22): E2967--E2976 (flybase.org/reports/FBrf0228639)</t>
        </is>
      </c>
      <c r="F970" t="inlineStr"/>
      <c r="G970" t="inlineStr"/>
      <c r="H970" t="inlineStr"/>
    </row>
    <row r="971">
      <c r="A971">
        <f>HYPERLINK("https://www.ebi.ac.uk/ols/ontologies/fbbt/terms?iri=http://purl.obolibrary.org/obo/FBbt_00003770","FBbt:00003770")</f>
        <v/>
      </c>
      <c r="B971" t="inlineStr">
        <is>
          <t>distal medullary amacrine neuron Dm3</t>
        </is>
      </c>
      <c r="C971" t="inlineStr">
        <is>
          <t>Dm3</t>
        </is>
      </c>
      <c r="D971" t="inlineStr">
        <is>
          <t>Distal medullary wide-field amacrine neuron whose cell body is located in the cell body rind of the medulla. It projects asymmetrically along layers M2 and M3A forming mixed morphology arborizations (Morante and Desplan, 2008; Fischbach and Dittrich, 1989). The arborization is proximal to that of Dm15 in M2 and distal to Dm4, Dm12 and Dm20 in M3B. Its arbor has a distinct narrow and elongated shape, covering one column wide and 10 columns long. The arbors overlap significantly between cells, aligning with rows of medulla columns, and extending in one of two orthogonal orientations. It is a glutamatergic neuron (Raghu and Borst, 2011).</t>
        </is>
      </c>
      <c r="E971" t="inlineStr">
        <is>
          <t>Fischbach and Dittrich, 1989, Cell Tissue Res. 258(3): 441--475 (flybase.org/reports/FBrf0049410); Morante and Desplan, 2008, Curr. Biol. 18(8): 553--565 (flybase.org/reports/FBrf0204652); Raghu and Borst, 2011, PLoS ONE 6(5): e19472 (flybase.org/reports/FBrf0213690); Nern et al., 2015, Proc. Natl. Acad. Sci. U.S.A. 112(22): E2967--E2976 (flybase.org/reports/FBrf0228639)</t>
        </is>
      </c>
      <c r="F971" t="inlineStr"/>
      <c r="G971" t="inlineStr"/>
      <c r="H971" t="inlineStr"/>
    </row>
    <row r="972">
      <c r="A972">
        <f>HYPERLINK("https://www.ebi.ac.uk/ols/ontologies/fbbt/terms?iri=http://purl.obolibrary.org/obo/FBbt_00048234","FBbt:00048234")</f>
        <v/>
      </c>
      <c r="B972" t="inlineStr">
        <is>
          <t>fruitless-expressing lobula columnar neuron LC10a</t>
        </is>
      </c>
      <c r="C972" t="inlineStr">
        <is>
          <t>fru+ LC10a neuron</t>
        </is>
      </c>
      <c r="D972" t="inlineStr">
        <is>
          <t>LC10a neuron that expresses fruitless. In the male, neurons of this class are thought to be involved in female tracking and the orientation of courtship behavior towards the female (Ribeiro et al., 2018).</t>
        </is>
      </c>
      <c r="E972" t="inlineStr">
        <is>
          <t>Ribeiro et al., 2018, Cell 174(3): 607--621.e18 (flybase.org/reports/FBrf0239559)</t>
        </is>
      </c>
      <c r="F972" t="inlineStr"/>
      <c r="G972" t="inlineStr"/>
      <c r="H972" t="inlineStr"/>
    </row>
    <row r="973">
      <c r="A973">
        <f>HYPERLINK("https://www.ebi.ac.uk/ols/ontologies/fbbt/terms?iri=http://purl.obolibrary.org/obo/FBbt_00111516","FBbt:00111516")</f>
        <v/>
      </c>
      <c r="B973" t="inlineStr">
        <is>
          <t>lobula intrinsic neuron Li4</t>
        </is>
      </c>
      <c r="C973" t="inlineStr">
        <is>
          <t>Li4</t>
        </is>
      </c>
      <c r="D973" t="inlineStr">
        <is>
          <t>Neuron whose cell body lies in the cortex of the lobula. It arborizes over a large area of the lobula, mostly in layer 5 but with some branches in layer 4. It is synapsed by Tm5a/b/c and Tm20 neurons, with a large number of synapses.</t>
        </is>
      </c>
      <c r="E973" t="inlineStr">
        <is>
          <t>Lin et al., 2016, J. Comp. Neurol. 524(2): 213--227 (flybase.org/reports/FBrf0230403)</t>
        </is>
      </c>
      <c r="F973" t="inlineStr"/>
      <c r="G973" t="inlineStr"/>
      <c r="H973" t="inlineStr"/>
    </row>
    <row r="974">
      <c r="A974">
        <f>HYPERLINK("https://www.ebi.ac.uk/ols/ontologies/fbbt/terms?iri=http://purl.obolibrary.org/obo/FBbt_00111278","FBbt:00111278")</f>
        <v/>
      </c>
      <c r="B974" t="inlineStr">
        <is>
          <t>distal medullary amacrine neuron Dm17</t>
        </is>
      </c>
      <c r="C974" t="inlineStr">
        <is>
          <t>None</t>
        </is>
      </c>
      <c r="D974" t="inlineStr">
        <is>
          <t>Distal medullary wide-field amacrine neuron whose cell body is located near the anterior edge of the medulla. Its primary neurite branches in the M2 layer, in the same sublayer as Dm14 and Dm19, and often shows bifurcations that cover separate medulla regions. It is a very large cell, with its arbor covering up to half of the whole M2 layer. The arbor is located in a intracolumnar position. There are 5 Dm17 neurons per hemisphere.</t>
        </is>
      </c>
      <c r="E974" t="inlineStr">
        <is>
          <t>Nern et al., 2015, Proc. Natl. Acad. Sci. U.S.A. 112(22): E2967--E2976 (flybase.org/reports/FBrf0228639)</t>
        </is>
      </c>
      <c r="F974" t="inlineStr"/>
      <c r="G974" t="inlineStr"/>
      <c r="H974" t="inlineStr"/>
    </row>
    <row r="975">
      <c r="A975">
        <f>HYPERLINK("https://www.ebi.ac.uk/ols/ontologies/fbbt/terms?iri=http://purl.obolibrary.org/obo/FBbt_00111277","FBbt:00111277")</f>
        <v/>
      </c>
      <c r="B975" t="inlineStr">
        <is>
          <t>distal medullary amacrine neuron Dm16</t>
        </is>
      </c>
      <c r="C975" t="inlineStr">
        <is>
          <t>None</t>
        </is>
      </c>
      <c r="D975" t="inlineStr">
        <is>
          <t>Distal medullary wide-field amacrine neuron whose cell body is located in the cell body rind of the medulla. Its primary neurite branches in both the M1/M2 and M2/M3 boundary regions. The arbor is elongated along the dorsal-ventral axis, with higher arbor density located at the dorsal end of the cell. The arbor is located in a peripheral columnar position. There are around 100 Dm16 neurons per hemisphere.</t>
        </is>
      </c>
      <c r="E975" t="inlineStr">
        <is>
          <t>Nern et al., 2015, Proc. Natl. Acad. Sci. U.S.A. 112(22): E2967--E2976 (flybase.org/reports/FBrf0228639)</t>
        </is>
      </c>
      <c r="F975" t="inlineStr"/>
      <c r="G975" t="inlineStr"/>
      <c r="H975" t="inlineStr"/>
    </row>
    <row r="976">
      <c r="A976">
        <f>HYPERLINK("https://www.ebi.ac.uk/ols/ontologies/fbbt/terms?iri=http://purl.obolibrary.org/obo/FBbt_00111515","FBbt:00111515")</f>
        <v/>
      </c>
      <c r="B976" t="inlineStr">
        <is>
          <t>lobula intrinsic neuron Li3</t>
        </is>
      </c>
      <c r="C976" t="inlineStr">
        <is>
          <t>Li3</t>
        </is>
      </c>
      <c r="D976" t="inlineStr">
        <is>
          <t>Neuron whose cell body lies in the cortex of the lobula. It arborizes in the anterior lobula, with a small bush-like display in layers 5 and 6.</t>
        </is>
      </c>
      <c r="E976" t="inlineStr">
        <is>
          <t>Lin et al., 2016, J. Comp. Neurol. 524(2): 213--227 (flybase.org/reports/FBrf0230403)</t>
        </is>
      </c>
      <c r="F976" t="inlineStr"/>
      <c r="G976" t="inlineStr"/>
      <c r="H976" t="inlineStr"/>
    </row>
    <row r="977">
      <c r="A977">
        <f>HYPERLINK("https://www.ebi.ac.uk/ols/ontologies/fbbt/terms?iri=http://purl.obolibrary.org/obo/FBbt_00111272","FBbt:00111272")</f>
        <v/>
      </c>
      <c r="B977" t="inlineStr">
        <is>
          <t>distal medullary amacrine neuron Dm11</t>
        </is>
      </c>
      <c r="C977" t="inlineStr">
        <is>
          <t>None</t>
        </is>
      </c>
      <c r="D977" t="inlineStr">
        <is>
          <t>Distal medullary wide-field amacrine neuron whose cell body is located in the dorsal region of the cell body rind of the medulla. Its primary neurite extends beyond M6A layer, and then turns back, forming recurrent processes from M6A to M1, and into the first optic chiasm. The arbor varies in shape between cells, covering around 9 columns and showing tiling. The terminals in M6A layer occupy the whole layer, whereas in the other layers the processes are thin, occupying only one column, and being associated with R7 and R8 photoreceptor axons. There are around 70 Dm11 neurons per hemisphere.</t>
        </is>
      </c>
      <c r="E977" t="inlineStr">
        <is>
          <t>Nern et al., 2015, Proc. Natl. Acad. Sci. U.S.A. 112(22): E2967--E2976 (flybase.org/reports/FBrf0228639)</t>
        </is>
      </c>
      <c r="F977" t="inlineStr"/>
      <c r="G977" t="inlineStr"/>
      <c r="H977" t="inlineStr"/>
    </row>
    <row r="978">
      <c r="A978">
        <f>HYPERLINK("https://www.ebi.ac.uk/ols/ontologies/fbbt/terms?iri=http://purl.obolibrary.org/obo/FBbt_00110087","FBbt:00110087")</f>
        <v/>
      </c>
      <c r="B978" t="inlineStr">
        <is>
          <t>lobula intrinsic neuron ChaLinew1</t>
        </is>
      </c>
      <c r="C978" t="inlineStr">
        <is>
          <t>ChaLinew1; Loinew1; Linew1</t>
        </is>
      </c>
      <c r="D978" t="inlineStr">
        <is>
          <t>Lobula intrinsic neuron that arborizes in lobula layers 2, 3, 4 and 5 and extends its processes to the central brain. It is a cholinergic neuron (Varija Raghu et al., 2011).</t>
        </is>
      </c>
      <c r="E978" t="inlineStr">
        <is>
          <t>Fischbach and Dittrich, 1989, Cell Tissue Res. 258(3): 441--475 (flybase.org/reports/FBrf0049410); Varija Raghu et al., 2011, J. Comp. Neurol. 519(1): 162--176 (flybase.org/reports/FBrf0212356)</t>
        </is>
      </c>
      <c r="F978" t="inlineStr"/>
      <c r="G978" t="inlineStr"/>
      <c r="H978" t="inlineStr"/>
    </row>
    <row r="979">
      <c r="A979">
        <f>HYPERLINK("https://www.ebi.ac.uk/ols/ontologies/fbbt/terms?iri=http://purl.obolibrary.org/obo/FBbt_00111271","FBbt:00111271")</f>
        <v/>
      </c>
      <c r="B979" t="inlineStr">
        <is>
          <t>distal medullary amacrine neuron Dm9</t>
        </is>
      </c>
      <c r="C979" t="inlineStr">
        <is>
          <t>glia-like cell; Dm9</t>
        </is>
      </c>
      <c r="D979" t="inlineStr">
        <is>
          <t>Distal medullary wide-field amacrine neuron whose cell body is located in the ventral region of the cell body rind of the medulla. It as a tubular shape, and extends between the distal M1 and M6A layers. The arbors overlap in M1 and M6A, but otherwise tile. The processes in M2 and M5 occupy a central column position and are closely associated with R7 and R8 photoreceptor axons, covering around 7 columns. There are around 110 Dm9 neurons per hemisphere.</t>
        </is>
      </c>
      <c r="E979" t="inlineStr">
        <is>
          <t>Takemura et al., 2013, Nature 500(7461): 175--181 (flybase.org/reports/FBrf0222324); Nern et al., 2015, Proc. Natl. Acad. Sci. U.S.A. 112(22): E2967--E2976 (flybase.org/reports/FBrf0228639)</t>
        </is>
      </c>
      <c r="F979" t="inlineStr"/>
      <c r="G979" t="inlineStr"/>
      <c r="H979" t="inlineStr"/>
    </row>
    <row r="980">
      <c r="A980">
        <f>HYPERLINK("https://www.ebi.ac.uk/ols/ontologies/fbbt/terms?iri=http://purl.obolibrary.org/obo/FBbt_00111274","FBbt:00111274")</f>
        <v/>
      </c>
      <c r="B980" t="inlineStr">
        <is>
          <t>distal medullary amacrine neuron Dm13</t>
        </is>
      </c>
      <c r="C980" t="inlineStr">
        <is>
          <t>None</t>
        </is>
      </c>
      <c r="D980" t="inlineStr">
        <is>
          <t>Distal medullary wide-field amacrine neuron whose cell body is located in anterior region of the cell body rind of the medulla. Its primary neurite extends deeper into the medulla layer, and then turns back to form to branches in M4. The arbors overlap, forming a grid-like arrangement and covering around 50-100 columns. The arbor is located in a peripheral intracolumnar position. There are around 15-20 Dm13 neurons per hemisphere.</t>
        </is>
      </c>
      <c r="E980" t="inlineStr">
        <is>
          <t>Nern et al., 2015, Proc. Natl. Acad. Sci. U.S.A. 112(22): E2967--E2976 (flybase.org/reports/FBrf0228639)</t>
        </is>
      </c>
      <c r="F980" t="inlineStr"/>
      <c r="G980" t="inlineStr"/>
      <c r="H980" t="inlineStr"/>
    </row>
    <row r="981">
      <c r="A981">
        <f>HYPERLINK("https://www.ebi.ac.uk/ols/ontologies/fbbt/terms?iri=http://purl.obolibrary.org/obo/FBbt_00111273","FBbt:00111273")</f>
        <v/>
      </c>
      <c r="B981" t="inlineStr">
        <is>
          <t>distal medullary amacrine neuron Dm12</t>
        </is>
      </c>
      <c r="C981" t="inlineStr">
        <is>
          <t>None</t>
        </is>
      </c>
      <c r="D981" t="inlineStr">
        <is>
          <t>Distal medullary wide-field amacrine neuron whose cell body is located in the cell body rind of the medulla. Its primary neurite extends into the M6 layer, and then turns back to project to M3B. The arbor is circular in shape, overlapping and covering around 15-20 columns. The arbor is located in a peripheral intracolumnar position. There are around 120 Dm12 neurons per hemisphere.</t>
        </is>
      </c>
      <c r="E981" t="inlineStr">
        <is>
          <t>Nern et al., 2015, Proc. Natl. Acad. Sci. U.S.A. 112(22): E2967--E2976 (flybase.org/reports/FBrf0228639)</t>
        </is>
      </c>
      <c r="F981" t="inlineStr"/>
      <c r="G981" t="inlineStr"/>
      <c r="H981" t="inlineStr"/>
    </row>
    <row r="982">
      <c r="A982">
        <f>HYPERLINK("https://www.ebi.ac.uk/ols/ontologies/fbbt/terms?iri=http://purl.obolibrary.org/obo/FBbt_00111281","FBbt:00111281")</f>
        <v/>
      </c>
      <c r="B982" t="inlineStr">
        <is>
          <t>distal medullary amacrine neuron Dm20</t>
        </is>
      </c>
      <c r="C982" t="inlineStr">
        <is>
          <t>None</t>
        </is>
      </c>
      <c r="D982" t="inlineStr">
        <is>
          <t>Distal medullary wide-field amacrine neuron whose cell body is located in the dorsal and ventral regions of the cell body rind of the medulla. Its arbor is mainly located in the M3B layer, though there are branches in more proximal and distal layers, and processes branch multiple times between the edge of M1 and M3B layers. The arbor varies in shape between cells, covering 50-100 columns, and overlapping considerably. The processes are located in a peripheral intracolumnar position, similar to Dm12. There are around 50 Dm20 neurons per hemisphere.</t>
        </is>
      </c>
      <c r="E982" t="inlineStr">
        <is>
          <t>Nern et al., 2015, Proc. Natl. Acad. Sci. U.S.A. 112(22): E2967--E2976 (flybase.org/reports/FBrf0228639)</t>
        </is>
      </c>
      <c r="F982" t="inlineStr"/>
      <c r="G982" t="inlineStr"/>
      <c r="H982" t="inlineStr"/>
    </row>
    <row r="983">
      <c r="A983">
        <f>HYPERLINK("https://www.ebi.ac.uk/ols/ontologies/fbbt/terms?iri=http://purl.obolibrary.org/obo/FBbt_00111280","FBbt:00111280")</f>
        <v/>
      </c>
      <c r="B983" t="inlineStr">
        <is>
          <t>distal medullary amacrine neuron Dm19</t>
        </is>
      </c>
      <c r="C983" t="inlineStr">
        <is>
          <t>None</t>
        </is>
      </c>
      <c r="D983" t="inlineStr">
        <is>
          <t>Distal medullary wide-field amacrine neuron whose cell body is located in the dorsal region of the cell body rind of the medulla. Its primary neurite branches in the M2 layer, in the same sublayer as Dm14 and Dm17. The arbor is very large, covering 100-200 columns. The majority of processes are located in a central columnar position, similar to Dm6. There are around 15 Dm19 neurons per hemisphere.</t>
        </is>
      </c>
      <c r="E983" t="inlineStr">
        <is>
          <t>Nern et al., 2015, Proc. Natl. Acad. Sci. U.S.A. 112(22): E2967--E2976 (flybase.org/reports/FBrf0228639)</t>
        </is>
      </c>
      <c r="F983" t="inlineStr"/>
      <c r="G983" t="inlineStr"/>
      <c r="H983" t="inlineStr"/>
    </row>
    <row r="984">
      <c r="A984">
        <f>HYPERLINK("https://www.ebi.ac.uk/ols/ontologies/fbbt/terms?iri=http://purl.obolibrary.org/obo/FBbt_00003884","FBbt:00003884")</f>
        <v/>
      </c>
      <c r="B984" t="inlineStr">
        <is>
          <t>lobula intrinsic neuron Li2</t>
        </is>
      </c>
      <c r="C984" t="inlineStr">
        <is>
          <t>Li2; lobular intrinsic neuron Li2</t>
        </is>
      </c>
      <c r="D984" t="inlineStr">
        <is>
          <t>Neuron whose cell body lies in the cortex proximal to the lobula and that projects along the posterior edge of the lobula and then along the plane of lobula layer 1 where it arborizes with both fine and bleb-type terminals.</t>
        </is>
      </c>
      <c r="E984" t="inlineStr">
        <is>
          <t>Fischbach and Dittrich, 1989, Cell Tissue Res. 258(3): 441--475 (flybase.org/reports/FBrf0049410)</t>
        </is>
      </c>
      <c r="F984" t="inlineStr"/>
      <c r="G984" t="inlineStr"/>
      <c r="H984" t="inlineStr"/>
    </row>
    <row r="985">
      <c r="A985">
        <f>HYPERLINK("https://www.ebi.ac.uk/ols/ontologies/fbbt/terms?iri=http://purl.obolibrary.org/obo/FBbt_00003807","FBbt:00003807")</f>
        <v/>
      </c>
      <c r="B985" t="inlineStr">
        <is>
          <t>transmedullary neuron Tm19</t>
        </is>
      </c>
      <c r="C985" t="inlineStr">
        <is>
          <t>Tm19</t>
        </is>
      </c>
      <c r="D985" t="inlineStr">
        <is>
          <t>Transmedullary neuron that terminates in lobula layer 6 with both fine and bleb-type arborizations, and bleb-type arborizations in layers 4 and 5. It displays fine arborizations in medulla layers M2, M3, M8 and M10, and has bleb-type arborizations in layer M3.</t>
        </is>
      </c>
      <c r="E985" t="inlineStr">
        <is>
          <t>Fischbach and Dittrich, 1989, Cell Tissue Res. 258(3): 441--475 (flybase.org/reports/FBrf0049410)</t>
        </is>
      </c>
      <c r="F985" t="inlineStr"/>
      <c r="G985" t="inlineStr"/>
      <c r="H985" t="inlineStr"/>
    </row>
    <row r="986">
      <c r="A986">
        <f>HYPERLINK("https://www.ebi.ac.uk/ols/ontologies/fbbt/terms?iri=http://purl.obolibrary.org/obo/FBbt_00003809","FBbt:00003809")</f>
        <v/>
      </c>
      <c r="B986" t="inlineStr">
        <is>
          <t>transmedullary neuron Tm21</t>
        </is>
      </c>
      <c r="C986" t="inlineStr">
        <is>
          <t>Tm21</t>
        </is>
      </c>
      <c r="D986" t="inlineStr">
        <is>
          <t>Transmedullary neuron that terminates in lobula layer 2 and 3 with fine arborizations. It displays fine arborizations in medulla layers M1, M3, M8 and M9.</t>
        </is>
      </c>
      <c r="E986" t="inlineStr">
        <is>
          <t>Fischbach and Dittrich, 1989, Cell Tissue Res. 258(3): 441--475 (flybase.org/reports/FBrf0049410)</t>
        </is>
      </c>
      <c r="F986" t="inlineStr"/>
      <c r="G986" t="inlineStr"/>
      <c r="H986" t="inlineStr"/>
    </row>
    <row r="987">
      <c r="A987">
        <f>HYPERLINK("https://www.ebi.ac.uk/ols/ontologies/fbbt/terms?iri=http://purl.obolibrary.org/obo/FBbt_00003883","FBbt:00003883")</f>
        <v/>
      </c>
      <c r="B987" t="inlineStr">
        <is>
          <t>lobula intrinsic neuron Li1</t>
        </is>
      </c>
      <c r="C987" t="inlineStr">
        <is>
          <t>Li1; lobular intrinsic neuron Li1</t>
        </is>
      </c>
      <c r="D987" t="inlineStr">
        <is>
          <t>Neuron whose cell body lies in the cortex of the lobula. It displays both fine and bleb-like terminals in lobula layers 4, 5 and 6. It is a glutamatergic neuron (Raghu and Borst, 2011).</t>
        </is>
      </c>
      <c r="E987" t="inlineStr">
        <is>
          <t>Fischbach and Dittrich, 1989, Cell Tissue Res. 258(3): 441--475 (flybase.org/reports/FBrf0049410); Raghu and Borst, 2011, PLoS ONE 6(5): e19472 (flybase.org/reports/FBrf0213690)</t>
        </is>
      </c>
      <c r="F987" t="inlineStr"/>
      <c r="G987" t="inlineStr"/>
      <c r="H987" t="inlineStr"/>
    </row>
    <row r="988">
      <c r="A988">
        <f>HYPERLINK("https://www.ebi.ac.uk/ols/ontologies/fbbt/terms?iri=http://purl.obolibrary.org/obo/FBbt_00003806","FBbt:00003806")</f>
        <v/>
      </c>
      <c r="B988" t="inlineStr">
        <is>
          <t>transmedullary neuron Tm18</t>
        </is>
      </c>
      <c r="C988" t="inlineStr">
        <is>
          <t>Tm18</t>
        </is>
      </c>
      <c r="D988" t="inlineStr">
        <is>
          <t>Transmedullary neuron that terminates in lobula layer 4 bleb-type arborizations. It displays fine arborizations in medulla layers M1, M2m M3, M4 and M9, and has bleb-type arborizations in layers M4.</t>
        </is>
      </c>
      <c r="E988" t="inlineStr">
        <is>
          <t>Fischbach and Dittrich, 1989, Cell Tissue Res. 258(3): 441--475 (flybase.org/reports/FBrf0049410)</t>
        </is>
      </c>
      <c r="F988" t="inlineStr"/>
      <c r="G988" t="inlineStr"/>
      <c r="H988" t="inlineStr"/>
    </row>
    <row r="989">
      <c r="A989">
        <f>HYPERLINK("https://www.ebi.ac.uk/ols/ontologies/fbbt/terms?iri=http://purl.obolibrary.org/obo/FBbt_00110092","FBbt:00110092")</f>
        <v/>
      </c>
      <c r="B989" t="inlineStr">
        <is>
          <t>Y neuron vGlutYnew1</t>
        </is>
      </c>
      <c r="C989" t="inlineStr">
        <is>
          <t>vGlutYnew1; Ynew1</t>
        </is>
      </c>
      <c r="D989" t="inlineStr">
        <is>
          <t>Y neuron with arborizations in medulla layers M8, M9 and M10, and layer 1 of both lobula and lobula plate. It is a glutamatergic neuron (Raghu and Borst, 2011).</t>
        </is>
      </c>
      <c r="E989" t="inlineStr">
        <is>
          <t>Raghu and Borst, 2011, PLoS ONE 6(5): e19472 (flybase.org/reports/FBrf0213690)</t>
        </is>
      </c>
      <c r="F989" t="inlineStr"/>
      <c r="G989" t="inlineStr"/>
      <c r="H989" t="inlineStr"/>
    </row>
    <row r="990">
      <c r="A990">
        <f>HYPERLINK("https://www.ebi.ac.uk/ols/ontologies/fbbt/terms?iri=http://purl.obolibrary.org/obo/FBbt_00003817","FBbt:00003817")</f>
        <v/>
      </c>
      <c r="B990" t="inlineStr">
        <is>
          <t>transmedullary Y neuron</t>
        </is>
      </c>
      <c r="C990" t="inlineStr">
        <is>
          <t>TmY</t>
        </is>
      </c>
      <c r="D990" t="inlineStr">
        <is>
          <t>An intrinsic columnar neuron of the optic lobe whose cell body lies in the distal cortex of the medulla and that arborizes in the medulla and branches in the second optic chiasm with one branch innervating the lobula and the other the lobula plate.</t>
        </is>
      </c>
      <c r="E990" t="inlineStr">
        <is>
          <t>Fischbach and Dittrich, 1989, Cell Tissue Res. 258(3): 441--475 (flybase.org/reports/FBrf0049410)</t>
        </is>
      </c>
      <c r="F990" t="inlineStr"/>
      <c r="G990" t="inlineStr"/>
      <c r="H990" t="inlineStr"/>
    </row>
    <row r="991">
      <c r="A991">
        <f>HYPERLINK("https://www.ebi.ac.uk/ols/ontologies/fbbt/terms?iri=http://purl.obolibrary.org/obo/FBbt_00003815","FBbt:00003815")</f>
        <v/>
      </c>
      <c r="B991" t="inlineStr">
        <is>
          <t>transmedullary neuron Tm27</t>
        </is>
      </c>
      <c r="C991" t="inlineStr">
        <is>
          <t>Tm27</t>
        </is>
      </c>
      <c r="D991" t="inlineStr">
        <is>
          <t>Transmedullary neuron that terminates in lobula layer 4. It also has arborizations in medulla layers M1, M4, M5, M8, M9 and M10 (Hasegawa et al., 2011).</t>
        </is>
      </c>
      <c r="E991" t="inlineStr">
        <is>
          <t>Hasegawa et al., 2011, Development 138(5): 983--993 (flybase.org/reports/FBrf0213020)</t>
        </is>
      </c>
      <c r="F991" t="inlineStr"/>
      <c r="G991" t="inlineStr"/>
      <c r="H991" t="inlineStr"/>
    </row>
    <row r="992">
      <c r="A992">
        <f>HYPERLINK("https://www.ebi.ac.uk/ols/ontologies/fbbt/terms?iri=http://purl.obolibrary.org/obo/FBbt_00111284","FBbt:00111284")</f>
        <v/>
      </c>
      <c r="B992" t="inlineStr">
        <is>
          <t>medullary intrinsic neuron Mi14</t>
        </is>
      </c>
      <c r="C992" t="inlineStr">
        <is>
          <t>None</t>
        </is>
      </c>
      <c r="D992" t="inlineStr">
        <is>
          <t>Medullary intrinsic narrow field neuron whose cell body is located in the cell body rind of the medulla. It has extensive arborizations in M2-M5 and M8-M9 layers.</t>
        </is>
      </c>
      <c r="E992" t="inlineStr">
        <is>
          <t>Takemura et al., 2013, Nature 500(7461): 175--181 (flybase.org/reports/FBrf0222324)</t>
        </is>
      </c>
      <c r="F992" t="inlineStr"/>
      <c r="G992" t="inlineStr"/>
      <c r="H992" t="inlineStr"/>
    </row>
    <row r="993">
      <c r="A993">
        <f>HYPERLINK("https://www.ebi.ac.uk/ols/ontologies/fbbt/terms?iri=http://purl.obolibrary.org/obo/FBbt_00110099","FBbt:00110099")</f>
        <v/>
      </c>
      <c r="B993" t="inlineStr">
        <is>
          <t>translobula plate neuron vGlutTlpnew1</t>
        </is>
      </c>
      <c r="C993" t="inlineStr">
        <is>
          <t>vGlutTlpnew1; Tlpnew1</t>
        </is>
      </c>
      <c r="D993" t="inlineStr">
        <is>
          <t>Translobula plate neuron with dendritic terminals in lobula layers 4 to 6 and in all layers of the lobula plate. It is a glutamatergic neuron (Raghu and Borst, 2011).</t>
        </is>
      </c>
      <c r="E993" t="inlineStr">
        <is>
          <t>Raghu and Borst, 2011, PLoS ONE 6(5): e19472 (flybase.org/reports/FBrf0213690)</t>
        </is>
      </c>
      <c r="F993" t="inlineStr"/>
      <c r="G993" t="inlineStr"/>
      <c r="H993" t="inlineStr"/>
    </row>
    <row r="994">
      <c r="A994">
        <f>HYPERLINK("https://www.ebi.ac.uk/ols/ontologies/fbbt/terms?iri=http://purl.obolibrary.org/obo/FBbt_00003813","FBbt:00003813")</f>
        <v/>
      </c>
      <c r="B994" t="inlineStr">
        <is>
          <t>transmedullary neuron Tm25</t>
        </is>
      </c>
      <c r="C994" t="inlineStr">
        <is>
          <t>Tm25</t>
        </is>
      </c>
      <c r="D994" t="inlineStr">
        <is>
          <t>Transmedullary neuron that terminates in lobula layer 5 with bleb-type arborizations. It displays fine arborizations in medulla layers M1, M2, M4, M5, M6 and M9, and has bleb-type arborizations in layers M5 and M8. It is a GABAergic neuron.</t>
        </is>
      </c>
      <c r="E994" t="inlineStr">
        <is>
          <t>Fischbach and Dittrich, 1989, Cell Tissue Res. 258(3): 441--475 (flybase.org/reports/FBrf0049410); Raghu et al., 2013, J. Comp. Neurol. 521(1): 252--265 (flybase.org/reports/FBrf0220286)</t>
        </is>
      </c>
      <c r="F994" t="inlineStr"/>
      <c r="G994" t="inlineStr"/>
      <c r="H994" t="inlineStr"/>
    </row>
    <row r="995">
      <c r="A995">
        <f>HYPERLINK("https://www.ebi.ac.uk/ols/ontologies/fbbt/terms?iri=http://purl.obolibrary.org/obo/FBbt_00111283","FBbt:00111283")</f>
        <v/>
      </c>
      <c r="B995" t="inlineStr">
        <is>
          <t>medullary intrinsic neuron Mi13</t>
        </is>
      </c>
      <c r="C995" t="inlineStr">
        <is>
          <t>None</t>
        </is>
      </c>
      <c r="D995" t="inlineStr">
        <is>
          <t>Medullary intrinsic narrow field neuron whose cell body is located in the cell body rind of the medulla. It has bushy arborizations in the boundary region between M1 and M2 layers, and additional arbors in M3 and M8-M10.</t>
        </is>
      </c>
      <c r="E995" t="inlineStr">
        <is>
          <t>Takemura et al., 2013, Nature 500(7461): 175--181 (flybase.org/reports/FBrf0222324)</t>
        </is>
      </c>
      <c r="F995" t="inlineStr"/>
      <c r="G995" t="inlineStr"/>
      <c r="H995" t="inlineStr"/>
    </row>
    <row r="996">
      <c r="A996">
        <f>HYPERLINK("https://www.ebi.ac.uk/ols/ontologies/fbbt/terms?iri=http://purl.obolibrary.org/obo/FBbt_00003810","FBbt:00003810")</f>
        <v/>
      </c>
      <c r="B996" t="inlineStr">
        <is>
          <t>transmedullary neuron Tm22</t>
        </is>
      </c>
      <c r="C996" t="inlineStr">
        <is>
          <t>Tm22</t>
        </is>
      </c>
      <c r="D996" t="inlineStr">
        <is>
          <t>Transmedullary neuron that terminates in lobula layer 6 fine arborizations, and in lobula layers 4 and 5 with bleb-type arborizations. It displays fine arborizations in medulla layers M4, M6 and M8, and has bleb-type arborizations in layers M6 and M8. It is a cholinergic neuron (Varija Raghu et al., 2011).</t>
        </is>
      </c>
      <c r="E996" t="inlineStr">
        <is>
          <t>Fischbach and Dittrich, 1989, Cell Tissue Res. 258(3): 441--475 (flybase.org/reports/FBrf0049410); Varija Raghu et al., 2011, J. Comp. Neurol. 519(1): 162--176 (flybase.org/reports/FBrf0212356)</t>
        </is>
      </c>
      <c r="F996" t="inlineStr"/>
      <c r="G996" t="inlineStr"/>
      <c r="H996" t="inlineStr"/>
    </row>
    <row r="997">
      <c r="A997">
        <f>HYPERLINK("https://www.ebi.ac.uk/ols/ontologies/fbbt/terms?iri=http://purl.obolibrary.org/obo/FBbt_00111285","FBbt:00111285")</f>
        <v/>
      </c>
      <c r="B997" t="inlineStr">
        <is>
          <t>medullary intrinsic neuron Mi15</t>
        </is>
      </c>
      <c r="C997" t="inlineStr">
        <is>
          <t>None</t>
        </is>
      </c>
      <c r="D997" t="inlineStr">
        <is>
          <t>Medullary intrinsic narrow field neuron. The primary neurite bifurcates in the M1 layer, with each branch extending as far as the M7 layer, and several fine branches extending throughout. Extensive arbors are seen in M1 and M4-M7 layers. It receives input from photoreceptor cell R8.</t>
        </is>
      </c>
      <c r="E997" t="inlineStr">
        <is>
          <t>Takemura et al., 2013, Nature 500(7461): 175--181 (flybase.org/reports/FBrf0222324)</t>
        </is>
      </c>
      <c r="F997" t="inlineStr"/>
      <c r="G997" t="inlineStr"/>
      <c r="H997" t="inlineStr"/>
    </row>
    <row r="998">
      <c r="A998">
        <f>HYPERLINK("https://www.ebi.ac.uk/ols/ontologies/fbbt/terms?iri=http://purl.obolibrary.org/obo/FBbt_00003811","FBbt:00003811")</f>
        <v/>
      </c>
      <c r="B998" t="inlineStr">
        <is>
          <t>transmedullary neuron Tm23</t>
        </is>
      </c>
      <c r="C998" t="inlineStr">
        <is>
          <t>Tm23</t>
        </is>
      </c>
      <c r="D998" t="inlineStr">
        <is>
          <t>Transmedullary neuron that terminates in lobula layers 1 and 2 with both fine and bleb-type arborizations. It does not show any arborization in the medulla.</t>
        </is>
      </c>
      <c r="E998" t="inlineStr">
        <is>
          <t>Fischbach and Dittrich, 1989, Cell Tissue Res. 258(3): 441--475 (flybase.org/reports/FBrf0049410)</t>
        </is>
      </c>
      <c r="F998" t="inlineStr"/>
      <c r="G998" t="inlineStr"/>
      <c r="H998" t="inlineStr"/>
    </row>
    <row r="999">
      <c r="A999">
        <f>HYPERLINK("https://www.ebi.ac.uk/ols/ontologies/fbbt/terms?iri=http://purl.obolibrary.org/obo/FBbt_00003786","FBbt:00003786")</f>
        <v/>
      </c>
      <c r="B999" t="inlineStr">
        <is>
          <t>medullary intrinsic neuron Mi11</t>
        </is>
      </c>
      <c r="C999" t="inlineStr">
        <is>
          <t>Mi11</t>
        </is>
      </c>
      <c r="D999" t="inlineStr">
        <is>
          <t>Medullary intrinsic wide-field neuron with extensive fine arborizations in medulla layers M6, M8, M9, M10 and the serpentine layer (Morante and Desplan, 2008; Fischbach and Dittrich, 1989). It is a cholinergic neuron (Varija Raghu et al., 2011).</t>
        </is>
      </c>
      <c r="E999" t="inlineStr">
        <is>
          <t>Fischbach and Dittrich, 1989, Cell Tissue Res. 258(3): 441--475 (flybase.org/reports/FBrf0049410); Morante and Desplan, 2008, Curr. Biol. 18(8): 553--565 (flybase.org/reports/FBrf0204652); Varija Raghu et al., 2011, J. Comp. Neurol. 519(1): 162--176 (flybase.org/reports/FBrf0212356)</t>
        </is>
      </c>
      <c r="F999" t="inlineStr"/>
      <c r="G999" t="inlineStr"/>
      <c r="H999" t="inlineStr"/>
    </row>
    <row r="1000">
      <c r="A1000">
        <f>HYPERLINK("https://www.ebi.ac.uk/ols/ontologies/fbbt/terms?iri=http://purl.obolibrary.org/obo/FBbt_00003785","FBbt:00003785")</f>
        <v/>
      </c>
      <c r="B1000" t="inlineStr">
        <is>
          <t>medullary intrinsic neuron Mi10</t>
        </is>
      </c>
      <c r="C1000" t="inlineStr">
        <is>
          <t>Mi10; medullary intrinsic neuron Mi10a; Mi10a</t>
        </is>
      </c>
      <c r="D1000" t="inlineStr">
        <is>
          <t>Medullary intrinsic neuron with both fine and bleb-type arborizations in medulla layers M3, M4, M5 and M8, but with only fine arborizations in medulla layer M9. It is a GABAergic neuron.</t>
        </is>
      </c>
      <c r="E1000" t="inlineStr">
        <is>
          <t>Fischbach and Dittrich, 1989, Cell Tissue Res. 258(3): 441--475 (flybase.org/reports/FBrf0049410); Raghu et al., 2013, J. Comp. Neurol. 521(1): 252--265 (flybase.org/reports/FBrf0220286)</t>
        </is>
      </c>
      <c r="F1000" t="inlineStr"/>
      <c r="G1000" t="inlineStr"/>
      <c r="H1000" t="inlineStr"/>
    </row>
    <row r="1001">
      <c r="A1001">
        <f>HYPERLINK("https://www.ebi.ac.uk/ols/ontologies/fbbt/terms?iri=http://purl.obolibrary.org/obo/FBbt_00003787","FBbt:00003787")</f>
        <v/>
      </c>
      <c r="B1001" t="inlineStr">
        <is>
          <t>medullary intrinsic neuron Mi12</t>
        </is>
      </c>
      <c r="C1001" t="inlineStr">
        <is>
          <t>Mi12</t>
        </is>
      </c>
      <c r="D1001" t="inlineStr">
        <is>
          <t>Medullary intrinsic neuron with fine, extensive and bushy arborizations in medulla layers M2, M8 and M9.</t>
        </is>
      </c>
      <c r="E1001" t="inlineStr">
        <is>
          <t>Fischbach and Dittrich, 1989, Cell Tissue Res. 258(3): 441--475 (flybase.org/reports/FBrf0049410)</t>
        </is>
      </c>
      <c r="F1001" t="inlineStr"/>
      <c r="G1001" t="inlineStr"/>
      <c r="H1001" t="inlineStr"/>
    </row>
    <row r="1002">
      <c r="A1002">
        <f>HYPERLINK("https://www.ebi.ac.uk/ols/ontologies/fbbt/terms?iri=http://purl.obolibrary.org/obo/FBbt_00003783","FBbt:00003783")</f>
        <v/>
      </c>
      <c r="B1002" t="inlineStr">
        <is>
          <t>medullary intrinsic neuron Mi8</t>
        </is>
      </c>
      <c r="C1002" t="inlineStr">
        <is>
          <t>Mi8</t>
        </is>
      </c>
      <c r="D1002" t="inlineStr">
        <is>
          <t>Medullary intrinsic neuron with a bushy mix of bleb-type and fine terminal arborization in layers M1-3. The projection of this neuron branches at the boundary with M10 to form varicose recurrent terminal specializations that extend back through M9.</t>
        </is>
      </c>
      <c r="E1002" t="inlineStr">
        <is>
          <t>Fischbach and Dittrich, 1989, Cell Tissue Res. 258(3): 441--475 (flybase.org/reports/FBrf0049410); Raghu et al., 2013, J. Comp. Neurol. 521(1): 252--265 (flybase.org/reports/FBrf0220286)</t>
        </is>
      </c>
      <c r="F1002" t="inlineStr"/>
      <c r="G1002" t="inlineStr"/>
      <c r="H1002" t="inlineStr"/>
    </row>
    <row r="1003">
      <c r="A1003">
        <f>HYPERLINK("https://www.ebi.ac.uk/ols/ontologies/fbbt/terms?iri=http://purl.obolibrary.org/obo/FBbt_00003784","FBbt:00003784")</f>
        <v/>
      </c>
      <c r="B1003" t="inlineStr">
        <is>
          <t>medullary intrinsic neuron Mi9</t>
        </is>
      </c>
      <c r="C1003" t="inlineStr">
        <is>
          <t>Mi9</t>
        </is>
      </c>
      <c r="D1003" t="inlineStr">
        <is>
          <t>Medullary intrinsic narrow field neuron with a bushy mix of bleb-type and fine terminal arborization in layers M2, M3 and M4 and in the lower medulla layers M9-M10. It establishes pre- and post-synaptic connections in both the inner and outer medulla layers (Morante and Desplan, 2008; Fischbach and Dittrich, 1989). It receives input from lamina monopolar neuron L3 and T neuron T4 (Takemura et al., 2013). It is glutamatergic (Takemura et al., 2017).</t>
        </is>
      </c>
      <c r="E1003" t="inlineStr">
        <is>
          <t>Fischbach and Dittrich, 1989, Cell Tissue Res. 258(3): 441--475 (flybase.org/reports/FBrf0049410); Morante and Desplan, 2008, Curr. Biol. 18(8): 553--565 (flybase.org/reports/FBrf0204652); Takemura et al., 2013, Nature 500(7461): 175--181 (flybase.org/reports/FBrf0222324); Takemura et al., 2017, eLife 6: e24394 (flybase.org/reports/FBrf0235606)</t>
        </is>
      </c>
      <c r="F1003" t="inlineStr"/>
      <c r="G1003" t="inlineStr"/>
      <c r="H1003" t="inlineStr"/>
    </row>
    <row r="1004">
      <c r="A1004">
        <f>HYPERLINK("https://www.ebi.ac.uk/ols/ontologies/fbbt/terms?iri=http://purl.obolibrary.org/obo/FBbt_00003835","FBbt:00003835")</f>
        <v/>
      </c>
      <c r="B1004" t="inlineStr">
        <is>
          <t>proximal medullary amacrine neuron Pm2</t>
        </is>
      </c>
      <c r="C1004" t="inlineStr">
        <is>
          <t>Pm2</t>
        </is>
      </c>
      <c r="D1004" t="inlineStr">
        <is>
          <t>Proximal medullary wide-field amacrine neuron that projects along M7 and branches extensively at the M7/M8 boundary with each branch projecting into medulla layer M9 where it forms an arbor with mixed bleb-type and fine terminals (Morante and Desplan, 2008; Fischbach and Dittrich, 1989). It is a glutamatergic neuron (Raghu and Borst, 2011).</t>
        </is>
      </c>
      <c r="E1004" t="inlineStr">
        <is>
          <t>Fischbach and Dittrich, 1989, Cell Tissue Res. 258(3): 441--475 (flybase.org/reports/FBrf0049410); Morante and Desplan, 2008, Curr. Biol. 18(8): 553--565 (flybase.org/reports/FBrf0204652); Raghu and Borst, 2011, PLoS ONE 6(5): e19472 (flybase.org/reports/FBrf0213690)</t>
        </is>
      </c>
      <c r="F1004" t="inlineStr"/>
      <c r="G1004" t="inlineStr"/>
      <c r="H1004" t="inlineStr"/>
    </row>
    <row r="1005">
      <c r="A1005">
        <f>HYPERLINK("https://www.ebi.ac.uk/ols/ontologies/fbbt/terms?iri=http://purl.obolibrary.org/obo/FBbt_00003833","FBbt:00003833")</f>
        <v/>
      </c>
      <c r="B1005" t="inlineStr">
        <is>
          <t>proximal medullary amacrine neuron Pm1</t>
        </is>
      </c>
      <c r="C1005" t="inlineStr">
        <is>
          <t>Pm1</t>
        </is>
      </c>
      <c r="D1005" t="inlineStr">
        <is>
          <t>Proximal medullary wide-field amacrine neuron that forms a broad terminal arbor with mixed morphology terminals that is restricted to medulla layer M9. This layer contains both dendrites and presynaptic terminals (Morante and Desplan, 2008; Fischbach and Dittrich, 1989). It is a cholinergic neuron (Varija Raghu et al., 2011).</t>
        </is>
      </c>
      <c r="E1005" t="inlineStr">
        <is>
          <t>Fischbach and Dittrich, 1989, Cell Tissue Res. 258(3): 441--475 (flybase.org/reports/FBrf0049410); Morante and Desplan, 2008, Curr. Biol. 18(8): 553--565 (flybase.org/reports/FBrf0204652); Varija Raghu et al., 2011, J. Comp. Neurol. 519(1): 162--176 (flybase.org/reports/FBrf0212356)</t>
        </is>
      </c>
      <c r="F1005" t="inlineStr"/>
      <c r="G1005" t="inlineStr"/>
      <c r="H1005" t="inlineStr"/>
    </row>
    <row r="1006">
      <c r="A1006">
        <f>HYPERLINK("https://www.ebi.ac.uk/ols/ontologies/fbbt/terms?iri=http://purl.obolibrary.org/obo/FBbt_00003793","FBbt:00003793")</f>
        <v/>
      </c>
      <c r="B1006" t="inlineStr">
        <is>
          <t>transmedullary neuron Tm5</t>
        </is>
      </c>
      <c r="C1006" t="inlineStr">
        <is>
          <t>Tm5</t>
        </is>
      </c>
      <c r="D1006" t="inlineStr">
        <is>
          <t>Transmedullary neuron that terminates in lobula layer 5 with bleb-type arborizations. It displays fine arborizations in medulla layers M3 and M6 and other, depending on the subtype. It has bleb-type terminals in layers M6 and M8. It has three subtypes.</t>
        </is>
      </c>
      <c r="E1006" t="inlineStr">
        <is>
          <t>Fischbach and Dittrich, 1989, Cell Tissue Res. 258(3): 441--475 (flybase.org/reports/FBrf0049410); Morante and Desplan, 2008, Curr. Biol. 18(8): 553--565 (flybase.org/reports/FBrf0204652); Karuppudurai et al., 2014, Neuron 81(3): 603--615 (flybase.org/reports/FBrf0224070)</t>
        </is>
      </c>
      <c r="F1006" t="inlineStr"/>
      <c r="G1006" t="inlineStr"/>
      <c r="H1006" t="inlineStr"/>
    </row>
    <row r="1007">
      <c r="A1007">
        <f>HYPERLINK("https://www.ebi.ac.uk/ols/ontologies/fbbt/terms?iri=http://purl.obolibrary.org/obo/FBbt_00003794","FBbt:00003794")</f>
        <v/>
      </c>
      <c r="B1007" t="inlineStr">
        <is>
          <t>transmedullary neuron Tm6</t>
        </is>
      </c>
      <c r="C1007" t="inlineStr">
        <is>
          <t>Tm6</t>
        </is>
      </c>
      <c r="D1007" t="inlineStr">
        <is>
          <t>Transmedullary neuron that terminates in lobula layer 4 with bleb-type arborizations. It displays fine arborizations in medulla layers M1, M2, M3, M8 and M9, and has bleb-type arborizations in layers M1, M2, M8 and M9. It receives input from the medullary intrinsic neuron Mi1 and transmedullary neuron Tm3a (Takemura et al., 2013).</t>
        </is>
      </c>
      <c r="E1007" t="inlineStr">
        <is>
          <t>Fischbach and Dittrich, 1989, Cell Tissue Res. 258(3): 441--475 (flybase.org/reports/FBrf0049410); Takemura et al., 2013, Nature 500(7461): 175--181 (flybase.org/reports/FBrf0222324)</t>
        </is>
      </c>
      <c r="F1007" t="inlineStr"/>
      <c r="G1007" t="inlineStr"/>
      <c r="H1007" t="inlineStr"/>
    </row>
    <row r="1008">
      <c r="A1008">
        <f>HYPERLINK("https://www.ebi.ac.uk/ols/ontologies/fbbt/terms?iri=http://purl.obolibrary.org/obo/FBbt_00003777","FBbt:00003777")</f>
        <v/>
      </c>
      <c r="B1008" t="inlineStr">
        <is>
          <t>medullary intrinsic neuron Mi2</t>
        </is>
      </c>
      <c r="C1008" t="inlineStr">
        <is>
          <t>Mi2</t>
        </is>
      </c>
      <c r="D1008" t="inlineStr">
        <is>
          <t>Medullary intrinsic neuron with both fine and bleb-type arborizations in medulla layers M1, M2 and M3, but with only fine arborizations in medulla layers M4, M5, M8 and M9. It is a cholinergic neuron (Varija Raghu et al., 2011).</t>
        </is>
      </c>
      <c r="E1008" t="inlineStr">
        <is>
          <t>Fischbach and Dittrich, 1989, Cell Tissue Res. 258(3): 441--475 (flybase.org/reports/FBrf0049410); Varija Raghu et al., 2011, J. Comp. Neurol. 519(1): 162--176 (flybase.org/reports/FBrf0212356)</t>
        </is>
      </c>
      <c r="F1008" t="inlineStr"/>
      <c r="G1008" t="inlineStr"/>
      <c r="H1008" t="inlineStr"/>
    </row>
    <row r="1009">
      <c r="A1009">
        <f>HYPERLINK("https://www.ebi.ac.uk/ols/ontologies/fbbt/terms?iri=http://purl.obolibrary.org/obo/FBbt_00003778","FBbt:00003778")</f>
        <v/>
      </c>
      <c r="B1009" t="inlineStr">
        <is>
          <t>medullary intrinsic neuron Mi3</t>
        </is>
      </c>
      <c r="C1009" t="inlineStr">
        <is>
          <t>Mi3</t>
        </is>
      </c>
      <c r="D1009" t="inlineStr">
        <is>
          <t>Medullary intrinsic wide-field neuron with both fine and bleb-type arborizations in medulla layers M3, M6 and M8, but with only fine arborizations in medulla layer M9 (Morante and Desplan, 2008; Fischbach and Dittrich, 1989).</t>
        </is>
      </c>
      <c r="E1009" t="inlineStr">
        <is>
          <t>Fischbach and Dittrich, 1989, Cell Tissue Res. 258(3): 441--475 (flybase.org/reports/FBrf0049410); Morante and Desplan, 2008, Curr. Biol. 18(8): 553--565 (flybase.org/reports/FBrf0204652)</t>
        </is>
      </c>
      <c r="F1009" t="inlineStr"/>
      <c r="G1009" t="inlineStr"/>
      <c r="H1009" t="inlineStr"/>
    </row>
    <row r="1010">
      <c r="A1010">
        <f>HYPERLINK("https://www.ebi.ac.uk/ols/ontologies/fbbt/terms?iri=http://purl.obolibrary.org/obo/FBbt_00003776","FBbt:00003776")</f>
        <v/>
      </c>
      <c r="B1010" t="inlineStr">
        <is>
          <t>medullary intrinsic neuron Mi1</t>
        </is>
      </c>
      <c r="C1010" t="inlineStr">
        <is>
          <t>small field unilateral tristratified neuron; Sut; Mi1; medullary intrinsic neuron 1</t>
        </is>
      </c>
      <c r="D1010" t="inlineStr">
        <is>
          <t>Medullary intrinsic narrow field neuron with bushy, fine arborizations in medulla layers M1, M5-6 and M9-10, coinciding with the arborization domains of lamina monopolar neuron L1. The projection of this neuron branches at the inner-face of the medulla to form two to three varicose recurrent terminal specializations that extend back up to the inner border of layer M8 (Morante and Desplan, 2008; Fischbach and Dittrich, 1989). Pre-synaptic terminals are present in medulla layers M9-M10. It receives input from lamina monopolar neuron L1, L3 and L5, centrifugal neuron C2 and photoreceptor cell R8. It outputs to T neuron T4 and T2a, and transmedullary neuron Tm3a and Tm6 (Takemura et al., 2013). It is a cholinergic neuron (Hasegawa et al., 2011).</t>
        </is>
      </c>
      <c r="E1010" t="inlineStr">
        <is>
          <t>Fischbach and Dittrich, 1989, Cell Tissue Res. 258(3): 441--475 (flybase.org/reports/FBrf0049410); Morante and Desplan, 2008, Curr. Biol. 18(8): 553--565 (flybase.org/reports/FBrf0204652); Hasegawa et al., 2011, Development 138(5): 983--993 (flybase.org/reports/FBrf0213020); Takemura et al., 2013, Nature 500(7461): 175--181 (flybase.org/reports/FBrf0222324)</t>
        </is>
      </c>
      <c r="F1010" t="inlineStr"/>
      <c r="G1010" t="inlineStr"/>
      <c r="H1010" t="inlineStr"/>
    </row>
    <row r="1011">
      <c r="A1011">
        <f>HYPERLINK("https://www.ebi.ac.uk/ols/ontologies/fbbt/terms?iri=http://purl.obolibrary.org/obo/FBbt_00003773","FBbt:00003773")</f>
        <v/>
      </c>
      <c r="B1011" t="inlineStr">
        <is>
          <t>distal medullary amacrine neuron Dm6</t>
        </is>
      </c>
      <c r="C1011" t="inlineStr">
        <is>
          <t>Dm6</t>
        </is>
      </c>
      <c r="D1011" t="inlineStr">
        <is>
          <t>Distal medullary wide-field amacrine neuron whose cell body is located in the ventral region of the cell body rind of the medulla. It branches extensively at the distal surface of the medulla forming a broad arbor with each branch making a distinctive bleb-type terminal in the boundary between M1 and M2 layers from which short, fine terminal branches project into M2. The arborization overlaps with both the sublayers occupied by Dm1/Dm18, and Dm14/Dm17/Dm19. The arborizations in M1/M2 are enriched in presynaptic terminals. The arbor varies in shape between cells, covering around 30-40 columns, with these areas overlapping. It is located in a intracolumnar position, in the same region as the terminals of lamina monopolar neuron L2, and more central than that of Dm1 and Dm14. There are around 30 Dm6 neurons per hemisphere.</t>
        </is>
      </c>
      <c r="E1011" t="inlineStr">
        <is>
          <t>Fischbach and Dittrich, 1989, Cell Tissue Res. 258(3): 441--475 (flybase.org/reports/FBrf0049410); Morante and Desplan, 2008, Curr. Biol. 18(8): 553--565 (flybase.org/reports/FBrf0204652); Nern et al., 2015, Proc. Natl. Acad. Sci. U.S.A. 112(22): E2967--E2976 (flybase.org/reports/FBrf0228639)</t>
        </is>
      </c>
      <c r="F1011" t="inlineStr"/>
      <c r="G1011" t="inlineStr"/>
      <c r="H1011" t="inlineStr"/>
    </row>
    <row r="1012">
      <c r="A1012">
        <f>HYPERLINK("https://www.ebi.ac.uk/ols/ontologies/fbbt/terms?iri=http://purl.obolibrary.org/obo/FBbt_00100528","FBbt:00100528")</f>
        <v/>
      </c>
      <c r="B1012" t="inlineStr">
        <is>
          <t>distal medulla glial cell</t>
        </is>
      </c>
      <c r="C1012" t="inlineStr">
        <is>
          <t>meg; medulla glial cell</t>
        </is>
      </c>
      <c r="D1012" t="inlineStr">
        <is>
          <t>Glial cell located proximal to the marginal glial cells. They elaborate long processes and wrap R cell axons in the medulla, which stop precisely at the base of expanded R8 and R7 growth cones. They also extend processes to the bottom of the lamina furrow (Poeck et al., 2001).</t>
        </is>
      </c>
      <c r="E1012" t="inlineStr">
        <is>
          <t>Poeck et al., 2001, Neuron 29(1): 99--113 (flybase.org/reports/FBrf0134808)</t>
        </is>
      </c>
      <c r="F1012" t="inlineStr"/>
      <c r="G1012" t="inlineStr"/>
      <c r="H1012" t="inlineStr"/>
    </row>
    <row r="1013">
      <c r="A1013">
        <f>HYPERLINK("https://www.ebi.ac.uk/ols/ontologies/fbbt/terms?iri=http://purl.obolibrary.org/obo/FBbt_00003774","FBbt:00003774")</f>
        <v/>
      </c>
      <c r="B1013" t="inlineStr">
        <is>
          <t>distal medullary amacrine neuron Dm7</t>
        </is>
      </c>
      <c r="C1013" t="inlineStr">
        <is>
          <t>Dm7</t>
        </is>
      </c>
      <c r="D1013" t="inlineStr">
        <is>
          <t>Distal medullary amacrine neuron that branches in layer M6. The branches spread along the layer, forming an arbor in M6 with terminals of mixed morphology. Some collaterals from this arbor extend to M4 where they also spread to form an arbor with terminals of mixed morphology.</t>
        </is>
      </c>
      <c r="E1013" t="inlineStr">
        <is>
          <t>Fischbach and Dittrich, 1989, Cell Tissue Res. 258(3): 441--475 (flybase.org/reports/FBrf0049410)</t>
        </is>
      </c>
      <c r="F1013" t="inlineStr"/>
      <c r="G1013" t="inlineStr"/>
      <c r="H1013" t="inlineStr"/>
    </row>
    <row r="1014">
      <c r="A1014">
        <f>HYPERLINK("https://www.ebi.ac.uk/ols/ontologies/fbbt/terms?iri=http://purl.obolibrary.org/obo/FBbt_00003771","FBbt:00003771")</f>
        <v/>
      </c>
      <c r="B1014" t="inlineStr">
        <is>
          <t>distal medullary amacrine neuron Dm4</t>
        </is>
      </c>
      <c r="C1014" t="inlineStr">
        <is>
          <t>Dm4</t>
        </is>
      </c>
      <c r="D1014" t="inlineStr">
        <is>
          <t>Distal medullary wide-field amacrine neuron whose cell body is located in the anterior region of the cell body rind of the medulla. The main neurite extends into M6, and then turns back to arborize in the boundary between M5 and M6, and in M3B, with mixed morphology arborizations. The arbor varies in shape between cells, covering around 21 columns, but with these areas tiling. It is located in a central position in the column, surrounded by the terminal of photoreceptors R7 and R8, with the cell boundaries following the column boundaries. There are around 40 Dm4 neurons per hemisphere.</t>
        </is>
      </c>
      <c r="E1014" t="inlineStr">
        <is>
          <t>Fischbach and Dittrich, 1989, Cell Tissue Res. 258(3): 441--475 (flybase.org/reports/FBrf0049410); Morante and Desplan, 2008, Curr. Biol. 18(8): 553--565 (flybase.org/reports/FBrf0204652); Nern et al., 2015, Proc. Natl. Acad. Sci. U.S.A. 112(22): E2967--E2976 (flybase.org/reports/FBrf0228639)</t>
        </is>
      </c>
      <c r="F1014" t="inlineStr"/>
      <c r="G1014" t="inlineStr"/>
      <c r="H1014" t="inlineStr"/>
    </row>
    <row r="1015">
      <c r="A1015">
        <f>HYPERLINK("https://www.ebi.ac.uk/ols/ontologies/fbbt/terms?iri=http://purl.obolibrary.org/obo/FBbt_00003772","FBbt:00003772")</f>
        <v/>
      </c>
      <c r="B1015" t="inlineStr">
        <is>
          <t>distal medullary amacrine neuron Dm5</t>
        </is>
      </c>
      <c r="C1015" t="inlineStr">
        <is>
          <t>Dm5</t>
        </is>
      </c>
      <c r="D1015" t="inlineStr">
        <is>
          <t>Distal medullary wide-field amacrine neuron that has a moderately broad, fine terminal arborization in layers M4-6. It is a glutamatergic neuron (Raghu and Borst, 2011).</t>
        </is>
      </c>
      <c r="E1015" t="inlineStr">
        <is>
          <t>Fischbach and Dittrich, 1989, Cell Tissue Res. 258(3): 441--475 (flybase.org/reports/FBrf0049410); Morante and Desplan, 2008, Curr. Biol. 18(8): 553--565 (flybase.org/reports/FBrf0204652); Raghu and Borst, 2011, PLoS ONE 6(5): e19472 (flybase.org/reports/FBrf0213690)</t>
        </is>
      </c>
      <c r="F1015" t="inlineStr"/>
      <c r="G1015" t="inlineStr"/>
      <c r="H1015" t="inlineStr"/>
    </row>
    <row r="1016">
      <c r="A1016">
        <f>HYPERLINK("https://www.ebi.ac.uk/ols/ontologies/fbbt/terms?iri=http://purl.obolibrary.org/obo/FBbt_00007511","FBbt:00007511")</f>
        <v/>
      </c>
      <c r="B1016" t="inlineStr">
        <is>
          <t>median fan-shaped neuron Fm3</t>
        </is>
      </c>
      <c r="C1016" t="inlineStr">
        <is>
          <t>Fm3; Fm3 neuron</t>
        </is>
      </c>
      <c r="D1016" t="inlineStr">
        <is>
          <t>Median fan-shaped neuron Fm whose perikarya lie in a dorso-caudal cluster near to the mushroom body calyx and have a domain of spiny fibers in the dorso-medial protocerebrum.</t>
        </is>
      </c>
      <c r="E1016" t="inlineStr">
        <is>
          <t>Hanesch et al., 1989, Cell Tissue Res. 257(2): 343--366 (flybase.org/reports/FBrf0049409)</t>
        </is>
      </c>
      <c r="F1016" t="inlineStr"/>
      <c r="G1016" t="inlineStr"/>
      <c r="H1016" t="inlineStr"/>
    </row>
    <row r="1017">
      <c r="A1017">
        <f>HYPERLINK("https://www.ebi.ac.uk/ols/ontologies/fbbt/terms?iri=http://purl.obolibrary.org/obo/FBbt_00003779","FBbt:00003779")</f>
        <v/>
      </c>
      <c r="B1017" t="inlineStr">
        <is>
          <t>medullary intrinsic neuron Mi4</t>
        </is>
      </c>
      <c r="C1017" t="inlineStr">
        <is>
          <t>Mi4</t>
        </is>
      </c>
      <c r="D1017" t="inlineStr">
        <is>
          <t>Medullary intrinsic narrow field neuron with both fine and bleb-type arborizations in medulla layers M1, M2, M3 and M8, but with only fine arborizations in medulla layers M4 and M5, and only bleb-type arborizations in medulla layer M9 (Morante and Desplan, 2008; Fischbach and Dittrich, 1989). It receives input from the lamina monopolar neuron L5 (Takemura et al., 2013). It is a GABAergic neuron (Takemura et al., 2017).</t>
        </is>
      </c>
      <c r="E1017" t="inlineStr">
        <is>
          <t>Fischbach and Dittrich, 1989, Cell Tissue Res. 258(3): 441--475 (flybase.org/reports/FBrf0049410); Morante and Desplan, 2008, Curr. Biol. 18(8): 553--565 (flybase.org/reports/FBrf0204652); Raghu and Borst, 2011, PLoS ONE 6(5): e19472 (flybase.org/reports/FBrf0213690); Takemura et al., 2013, Nature 500(7461): 175--181 (flybase.org/reports/FBrf0222324)</t>
        </is>
      </c>
      <c r="F1017" t="inlineStr"/>
      <c r="G1017" t="inlineStr"/>
      <c r="H1017" t="inlineStr"/>
    </row>
    <row r="1018">
      <c r="A1018">
        <f>HYPERLINK("https://www.ebi.ac.uk/ols/ontologies/fbbt/terms?iri=http://purl.obolibrary.org/obo/FBbt_00007580","FBbt:00007580")</f>
        <v/>
      </c>
      <c r="B1018" t="inlineStr">
        <is>
          <t>Y neuron Y6</t>
        </is>
      </c>
      <c r="C1018" t="inlineStr">
        <is>
          <t>Y6</t>
        </is>
      </c>
      <c r="D1018" t="inlineStr">
        <is>
          <t>Y neuron that arborizes relatively broadly in all lobula plate layers and with a mix of terminal morphologies. Its branch in the lobula has narrow and mainly bleb-type arborizations in layers 1-4. Its branch in the lamina has a broader, bushy, fine, terminal arborization domain in layers M8-9.</t>
        </is>
      </c>
      <c r="E1018" t="inlineStr">
        <is>
          <t>Fischbach and Dittrich, 1989, Cell Tissue Res. 258(3): 441--475 (flybase.org/reports/FBrf0049410)</t>
        </is>
      </c>
      <c r="F1018" t="inlineStr"/>
      <c r="G1018" t="inlineStr"/>
      <c r="H1018" t="inlineStr"/>
    </row>
    <row r="1019">
      <c r="A1019">
        <f>HYPERLINK("https://www.ebi.ac.uk/ols/ontologies/fbbt/terms?iri=http://purl.obolibrary.org/obo/FBbt_00003781","FBbt:00003781")</f>
        <v/>
      </c>
      <c r="B1019" t="inlineStr">
        <is>
          <t>medullary intrinsic neuron Mi6</t>
        </is>
      </c>
      <c r="C1019" t="inlineStr">
        <is>
          <t>Mi6</t>
        </is>
      </c>
      <c r="D1019" t="inlineStr">
        <is>
          <t>Medullary intrinsic neuron with both fine and bleb-type arborizations in medulla layers M2, M5, M6 and M8, but with only fine arborizations in medulla layers M3 and M4.</t>
        </is>
      </c>
      <c r="E1019" t="inlineStr">
        <is>
          <t>Fischbach and Dittrich, 1989, Cell Tissue Res. 258(3): 441--475 (flybase.org/reports/FBrf0049410)</t>
        </is>
      </c>
      <c r="F1019" t="inlineStr"/>
      <c r="G1019" t="inlineStr"/>
      <c r="H1019" t="inlineStr"/>
    </row>
    <row r="1020">
      <c r="A1020">
        <f>HYPERLINK("https://www.ebi.ac.uk/ols/ontologies/fbbt/terms?iri=http://purl.obolibrary.org/obo/FBbt_00003782","FBbt:00003782")</f>
        <v/>
      </c>
      <c r="B1020" t="inlineStr">
        <is>
          <t>medullary intrinsic neuron Mi7</t>
        </is>
      </c>
      <c r="C1020" t="inlineStr">
        <is>
          <t>Mi7</t>
        </is>
      </c>
      <c r="D1020" t="inlineStr">
        <is>
          <t>Medullary intrinsic neuron with both fine and bleb-type arborizations in medulla layer M6, but with only fine arborizations in medulla layers M1, M3, M5 and M8. It is a cholinergic neuron (Varija Raghu et al., 2011).</t>
        </is>
      </c>
      <c r="E1020" t="inlineStr">
        <is>
          <t>Fischbach and Dittrich, 1989, Cell Tissue Res. 258(3): 441--475 (flybase.org/reports/FBrf0049410); Varija Raghu et al., 2011, J. Comp. Neurol. 519(1): 162--176 (flybase.org/reports/FBrf0212356)</t>
        </is>
      </c>
      <c r="F1020" t="inlineStr"/>
      <c r="G1020" t="inlineStr"/>
      <c r="H1020" t="inlineStr"/>
    </row>
    <row r="1021">
      <c r="A1021">
        <f>HYPERLINK("https://www.ebi.ac.uk/ols/ontologies/fbbt/terms?iri=http://purl.obolibrary.org/obo/FBbt_00003780","FBbt:00003780")</f>
        <v/>
      </c>
      <c r="B1021" t="inlineStr">
        <is>
          <t>medullary intrinsic neuron Mi5</t>
        </is>
      </c>
      <c r="C1021" t="inlineStr">
        <is>
          <t>Mi5</t>
        </is>
      </c>
      <c r="D1021" t="inlineStr">
        <is>
          <t>Medullary intrinsic narrow field neuron with both fine and bleb-type arborizations in medulla layer M8 and the serpentine layer, but with only fine arborizations in medulla layer M6 (Morante and Desplan, 2008; Fischbach and Dittrich, 1989).</t>
        </is>
      </c>
      <c r="E1021" t="inlineStr">
        <is>
          <t>Fischbach and Dittrich, 1989, Cell Tissue Res. 258(3): 441--475 (flybase.org/reports/FBrf0049410); Morante and Desplan, 2008, Curr. Biol. 18(8): 553--565 (flybase.org/reports/FBrf0204652)</t>
        </is>
      </c>
      <c r="F1021" t="inlineStr"/>
      <c r="G1021" t="inlineStr"/>
      <c r="H1021" t="inlineStr"/>
    </row>
    <row r="1022">
      <c r="A1022">
        <f>HYPERLINK("https://www.ebi.ac.uk/ols/ontologies/fbbt/terms?iri=http://purl.obolibrary.org/obo/FBbt_00003904","FBbt:00003904")</f>
        <v/>
      </c>
      <c r="B1022" t="inlineStr">
        <is>
          <t>translobula plate neuron Tlp14</t>
        </is>
      </c>
      <c r="C1022" t="inlineStr">
        <is>
          <t>translobullar plate neuron Tlp14; translobullar plate neuron Tpl14; Tpl14; Tlp14; translobula-plate neuron Tpl14; translobula-plate neuron Tlp14</t>
        </is>
      </c>
      <c r="D1022" t="inlineStr">
        <is>
          <t>Translobula plate neuron that arborizes in the lobula and lobula plate.</t>
        </is>
      </c>
      <c r="E1022" t="inlineStr">
        <is>
          <t>Fischbach and Dittrich, 1989, Cell Tissue Res. 258(3): 441--475 (flybase.org/reports/FBrf0049410)</t>
        </is>
      </c>
      <c r="F1022" t="inlineStr"/>
      <c r="G1022" t="inlineStr"/>
      <c r="H1022" t="inlineStr"/>
    </row>
    <row r="1023">
      <c r="A1023">
        <f>HYPERLINK("https://www.ebi.ac.uk/ols/ontologies/fbbt/terms?iri=http://purl.obolibrary.org/obo/FBbt_00003905","FBbt:00003905")</f>
        <v/>
      </c>
      <c r="B1023" t="inlineStr">
        <is>
          <t>translobula plate neuron Tlp15</t>
        </is>
      </c>
      <c r="C1023" t="inlineStr">
        <is>
          <t>translobullar plate neuron Tpl15; translobullar plate neuron Tlp15; Tlp15; Tpl15; translobula-plate neuron Tlp15; translobula-plate neuron Tpl15</t>
        </is>
      </c>
      <c r="D1023" t="inlineStr">
        <is>
          <t>Translobula plate neuron that arborizes in the lobula and lobula plate.</t>
        </is>
      </c>
      <c r="E1023" t="inlineStr">
        <is>
          <t>Fischbach and Dittrich, 1989, Cell Tissue Res. 258(3): 441--475 (flybase.org/reports/FBrf0049410)</t>
        </is>
      </c>
      <c r="F1023" t="inlineStr"/>
      <c r="G1023" t="inlineStr"/>
      <c r="H1023" t="inlineStr"/>
    </row>
    <row r="1024">
      <c r="A1024">
        <f>HYPERLINK("https://www.ebi.ac.uk/ols/ontologies/fbbt/terms?iri=http://purl.obolibrary.org/obo/FBbt_00003901","FBbt:00003901")</f>
        <v/>
      </c>
      <c r="B1024" t="inlineStr">
        <is>
          <t>translobula plate neuron Tlp11</t>
        </is>
      </c>
      <c r="C1024" t="inlineStr">
        <is>
          <t>Tlp11; Tpl11; translobula-plate neuron Tlp11; translobula-plate neuron Tpl11; translobullar plate neuron Tlp11; translobullar plate neuron Tpl11</t>
        </is>
      </c>
      <c r="D1024" t="inlineStr">
        <is>
          <t>Translobula plate neuron that arborizes in the lobula and lobula plate.</t>
        </is>
      </c>
      <c r="E1024" t="inlineStr">
        <is>
          <t>Fischbach and Dittrich, 1989, Cell Tissue Res. 258(3): 441--475 (flybase.org/reports/FBrf0049410)</t>
        </is>
      </c>
      <c r="F1024" t="inlineStr"/>
      <c r="G1024" t="inlineStr"/>
      <c r="H1024" t="inlineStr"/>
    </row>
    <row r="1025">
      <c r="A1025">
        <f>HYPERLINK("https://www.ebi.ac.uk/ols/ontologies/fbbt/terms?iri=http://purl.obolibrary.org/obo/FBbt_00003903","FBbt:00003903")</f>
        <v/>
      </c>
      <c r="B1025" t="inlineStr">
        <is>
          <t>translobula plate neuron Tlp13</t>
        </is>
      </c>
      <c r="C1025" t="inlineStr">
        <is>
          <t>translobula-plate neuron Tlp13; translobula-plate neuron Tpl13; translobullar plate neuron Tlp13; translobullar plate neuron Tpl13; Tlp13; Tpl13</t>
        </is>
      </c>
      <c r="D1025" t="inlineStr">
        <is>
          <t>Translobula plate neuron that arborizes in the lobula and lobula plate.</t>
        </is>
      </c>
      <c r="E1025" t="inlineStr">
        <is>
          <t>Fischbach and Dittrich, 1989, Cell Tissue Res. 258(3): 441--475 (flybase.org/reports/FBrf0049410)</t>
        </is>
      </c>
      <c r="F1025" t="inlineStr"/>
      <c r="G1025" t="inlineStr"/>
      <c r="H1025" t="inlineStr"/>
    </row>
    <row r="1026">
      <c r="A1026">
        <f>HYPERLINK("https://www.ebi.ac.uk/ols/ontologies/fbbt/terms?iri=http://purl.obolibrary.org/obo/FBbt_00003902","FBbt:00003902")</f>
        <v/>
      </c>
      <c r="B1026" t="inlineStr">
        <is>
          <t>translobula plate neuron Tlp12</t>
        </is>
      </c>
      <c r="C1026" t="inlineStr">
        <is>
          <t>translobula-plate neuron Tpl12; translobula-plate neuron Tlp12; translobullar plate neuron Tlp12; translobullar plate neuron Tpl12; Tpl12; Tlp12</t>
        </is>
      </c>
      <c r="D1026" t="inlineStr">
        <is>
          <t>Translobula plate neuron that arborizes in the lobula and lobula plate.</t>
        </is>
      </c>
      <c r="E1026" t="inlineStr">
        <is>
          <t>Fischbach and Dittrich, 1989, Cell Tissue Res. 258(3): 441--475 (flybase.org/reports/FBrf0049410)</t>
        </is>
      </c>
      <c r="F1026" t="inlineStr"/>
      <c r="G1026" t="inlineStr"/>
      <c r="H1026" t="inlineStr"/>
    </row>
    <row r="1027">
      <c r="A1027">
        <f>HYPERLINK("https://www.ebi.ac.uk/ols/ontologies/fbbt/terms?iri=http://purl.obolibrary.org/obo/FBbt_00003725","FBbt:00003725")</f>
        <v/>
      </c>
      <c r="B1027" t="inlineStr">
        <is>
          <t>lamina monopolar neuron L5</t>
        </is>
      </c>
      <c r="C1027" t="inlineStr">
        <is>
          <t>L5; monopolar laminar cell L5</t>
        </is>
      </c>
      <c r="D1027" t="inlineStr">
        <is>
          <t>A lamina monopolar neuron that hardly arborizes at all in the lamina, but forms a branched arborization in medulla layers M1 and M2 and a clump of terminals in M5. In the lamina it forms only a few postsynaptic connections with lamina monopolar cells L2 and L4 (collaterals from the same and adjacent columns), lamina intrinsic (amacrine) cells and lamina wide-field cells Lawf (Meinertzhagen and O'Neil, 1991; Rivera-Alba et al., 2011). In the medulla, it forms reciprocal synaptic connections with monopolar lamina neuron L1 and receives input from R8 in M1 (Takemura et al., 2008) and Tm2 (Takemura et al., 2013). It outputs to medullary intrinsic neuron Mi1 and M4, transmedullary neuron Tm3a and centrifugal neuron C2, C3, T neuron T2 and distal medullary amacrine neuron Dm2 (Takemura et al., 2013).</t>
        </is>
      </c>
      <c r="E1027" t="inlineStr">
        <is>
          <t>Fischbach and Dittrich, 1989, Cell Tissue Res. 258(3): 441--475 (flybase.org/reports/FBrf0049410); Meinertzhagen and O'Neil, 1991, J. Comp. Neurol. 305(2): 232--263 (flybase.org/reports/FBrf0054529); Takemura et al., 2008, J. Comp. Neurol. 509(5): 493--513 (flybase.org/reports/FBrf0205531); Rivera-Alba et al., 2011, Curr. Biol. 21(23): 2000--2005 (flybase.org/reports/FBrf0216925); Takemura et al., 2013, Nature 500(7461): 175--181 (flybase.org/reports/FBrf0222324)</t>
        </is>
      </c>
      <c r="F1027" t="inlineStr"/>
      <c r="G1027" t="inlineStr"/>
      <c r="H1027" t="inlineStr"/>
    </row>
    <row r="1028">
      <c r="A1028">
        <f>HYPERLINK("https://www.ebi.ac.uk/ols/ontologies/fbbt/terms?iri=http://purl.obolibrary.org/obo/FBbt_00003721","FBbt:00003721")</f>
        <v/>
      </c>
      <c r="B1028" t="inlineStr">
        <is>
          <t>lamina monopolar neuron L3</t>
        </is>
      </c>
      <c r="C1028" t="inlineStr">
        <is>
          <t>monopolar laminar cell L3; L3</t>
        </is>
      </c>
      <c r="D1028" t="inlineStr">
        <is>
          <t>A lamina monopolar neuron with short spines that project to one side of the main projection as it extends through the lamina optic cartridge. It terminates with an arborization in medulla layer M3. Its cell body is located in the layer between the basement membrane of the compound eye and the lamina neuropil. In the lamina it is postsynaptic to photoreceptors R1-R6, lamina monopolar cell L4 (collaterals from adjacent columns), lamina intrinsic (amacrine) cells and lamina wide-field neurons Lawf (Meinertzhagen and O'Neil, 1991; Rivera-Alba et al., 2011). It forms presynaptic terminals at its terminal arborization in medulla layer M3 (Takemura et al., 2008) receiving input from centrifugal neuron C2. It makes presynaptic contacts with Tm5a, Tm9 (Gao et al., 2008), Tm20, Mi1 and Mi9 (Takemura et al., 2013). It is a GABA-ergic neuron.</t>
        </is>
      </c>
      <c r="E1028" t="inlineStr">
        <is>
          <t>Fischbach and Dittrich, 1989, Cell Tissue Res. 258(3): 441--475 (flybase.org/reports/FBrf0049410); Meinertzhagen and O'Neil, 1991, J. Comp. Neurol. 305(2): 232--263 (flybase.org/reports/FBrf0054529); Takemura et al., 2008, J. Comp. Neurol. 509(5): 493--513 (flybase.org/reports/FBrf0205531); Gao et al., 2008, Neuron 60(2): 328--342 (flybase.org/reports/FBrf0206213); Rivera-Alba et al., 2011, Curr. Biol. 21(23): 2000--2005 (flybase.org/reports/FBrf0216925); Raghu et al., 2013, J. Comp. Neurol. 521(1): 252--265 (flybase.org/reports/FBrf0220286); Takemura et al., 2013, Nature 500(7461): 175--181 (flybase.org/reports/FBrf0222324)</t>
        </is>
      </c>
      <c r="F1028" t="inlineStr"/>
      <c r="G1028" t="inlineStr"/>
      <c r="H1028" t="inlineStr"/>
    </row>
    <row r="1029">
      <c r="A1029">
        <f>HYPERLINK("https://www.ebi.ac.uk/ols/ontologies/fbbt/terms?iri=http://purl.obolibrary.org/obo/FBbt_00003722","FBbt:00003722")</f>
        <v/>
      </c>
      <c r="B1029" t="inlineStr">
        <is>
          <t>lamina monopolar neuron L4</t>
        </is>
      </c>
      <c r="C1029" t="inlineStr">
        <is>
          <t>monopolar laminar cell L4; monopolar laminar cell L4y; monopolar laminar cell L4x; L4</t>
        </is>
      </c>
      <c r="D1029" t="inlineStr">
        <is>
          <t>A lamina monopolar neuron that arborizes in the proximal lamina, forms a spreading arbor in medulla layer M2 and a small terminal arbor in M4-M5 that penetrates adjacent columns (Fischbach and Dittrich, 1989; Takemura et al., 2008; Takemura et al., 2011). In the proximal lamina it receives synaptic input from photoreceptor R6, lamina monopolar L2 (within the same column and adjacent columns), L4 (collaterals from adjacent columns) and lamina intrinsic (amacrine) cells (Meinertzhagen and O'Neil, 1991; Rivera-Alba et al., 2011). It forms presynaptic terminals in the lamina with photoreceptors R1-R6, L2-L5 (L4 collaterals from adjacent columns), and lamina intrinsic (amacrine) cells (Rivera-Alba et al., 2011). In the medulla it forms presynaptic terminals in both M2 and M4-M5 with transmedullary neuron Tm2. Three L4 neurons, one from the parent column and two from the posterior ones contact the same Tm2 neuron (Takemura et al., 2008; Takemura et al., 2011). It seems to be capable of both cholinergic and GABAergic neurotransmission.</t>
        </is>
      </c>
      <c r="E1029" t="inlineStr">
        <is>
          <t>Fischbach and Dittrich, 1989, Cell Tissue Res. 258(3): 441--475 (flybase.org/reports/FBrf0049410); Meinertzhagen and O'Neil, 1991, J. Comp. Neurol. 305(2): 232--263 (flybase.org/reports/FBrf0054529); Takemura et al., 2008, J. Comp. Neurol. 509(5): 493--513 (flybase.org/reports/FBrf0205531); Rivera-Alba et al., 2011, Curr. Biol. 21(23): 2000--2005 (flybase.org/reports/FBrf0216925); Takemura et al., 2011, Curr. Biol. 21(24): 2077--2084 (flybase.org/reports/FBrf0217052); Raghu et al., 2013, J. Comp. Neurol. 521(1): 252--265 (flybase.org/reports/FBrf0220286)</t>
        </is>
      </c>
      <c r="F1029" t="inlineStr"/>
      <c r="G1029" t="inlineStr"/>
      <c r="H1029" t="inlineStr"/>
    </row>
    <row r="1030">
      <c r="A1030">
        <f>HYPERLINK("https://www.ebi.ac.uk/ols/ontologies/fbbt/terms?iri=http://purl.obolibrary.org/obo/FBbt_00003720","FBbt:00003720")</f>
        <v/>
      </c>
      <c r="B1030" t="inlineStr">
        <is>
          <t>lamina monopolar neuron L2</t>
        </is>
      </c>
      <c r="C1030" t="inlineStr">
        <is>
          <t>monopolar laminar cell L2; L2</t>
        </is>
      </c>
      <c r="D1030" t="inlineStr">
        <is>
          <t>A lamina monopolar neuron with short collaterals that project radially from the main projection in the lamina and that arborizes in medulla layer M2. In the lamina it receives input from photoreceptors R1-R6, lamina monopolar neuron L4 (collaterals from the same and adjacent columns), lamina intrinsic (amacrine) cells, centrifugal neurons C2 and C3 and lamina wide-field neurons Lawf. It forms postsynaptic connections in the lamina with photoreceptors R1 and R2 and lamina monopolar cells L1, L4 and L5 (Meinertzhagen and O'Neil, 1991; Rivera-Alba et al., 2011). It has both pre- and postsynaptic connections in medulla layer M2, with synaptic input coming from centrifugal neurons C2 and C3 (Takemura et al., 2008) and transmedullary neuron Tm1. It outputs to lamina monopolar neuron L5, columnar neuron T1, and transmedullary neurons Tm1, Tm2, Tm4 and Tm20 (Takemura et al., 2013). It is a cholinergic neuron (Takemura et al., 2011) and is electrically synapsed to lamina monopolar neuron L1 (Joesch et al., 2010).</t>
        </is>
      </c>
      <c r="E1030" t="inlineStr">
        <is>
          <t>Fischbach and Dittrich, 1989, Cell Tissue Res. 258(3): 441--475 (flybase.org/reports/FBrf0049410); Meinertzhagen and O'Neil, 1991, J. Comp. Neurol. 305(2): 232--263 (flybase.org/reports/FBrf0054529); Takemura et al., 2008, J. Comp. Neurol. 509(5): 493--513 (flybase.org/reports/FBrf0205531); Joesch et al., 2010, Nature 468(7321): 300--304 (flybase.org/reports/FBrf0212262); Rivera-Alba et al., 2011, Curr. Biol. 21(23): 2000--2005 (flybase.org/reports/FBrf0216925); Takemura et al., 2011, Curr. Biol. 21(24): 2077--2084 (flybase.org/reports/FBrf0217052); Takemura et al., 2013, Nature 500(7461): 175--181 (flybase.org/reports/FBrf0222324)</t>
        </is>
      </c>
      <c r="F1030" t="inlineStr"/>
      <c r="G1030" t="inlineStr"/>
      <c r="H1030" t="inlineStr"/>
    </row>
    <row r="1031">
      <c r="A1031">
        <f>HYPERLINK("https://www.ebi.ac.uk/ols/ontologies/fbbt/terms?iri=http://purl.obolibrary.org/obo/FBbt_00003728","FBbt:00003728")</f>
        <v/>
      </c>
      <c r="B1031" t="inlineStr">
        <is>
          <t>T neuron T2</t>
        </is>
      </c>
      <c r="C1031" t="inlineStr">
        <is>
          <t>T2</t>
        </is>
      </c>
      <c r="D1031" t="inlineStr">
        <is>
          <t>T neuron whose cell body fiber soma sits in the cortex adjacent to the gap between the medulla and lobula plate. Their cell body fibers project through this gap before branching in the second optic chiasm. One branch projects into a medulla column, where it forms a bushy, fine, arborization in medulla layer M9 and then projects through the rest of the medulla column, forming fine arborizations in M1, M2 and M5. The other branch forms a terminal arborization in lobula layer 3 that is much wider than a single column and has bleb-type terminal branches. In the medulla it receives input from lamina monopolar neuron L5 and Tm2 (Takemura et al., 2013). It seems to be capable of cholinergic and GABAergic neurotransmission.</t>
        </is>
      </c>
      <c r="E1031" t="inlineStr">
        <is>
          <t>Fischbach and Dittrich, 1989, Cell Tissue Res. 258(3): 441--475 (flybase.org/reports/FBrf0049410); Varija Raghu et al., 2011, J. Comp. Neurol. 519(1): 162--176 (flybase.org/reports/FBrf0212356); Raghu et al., 2013, J. Comp. Neurol. 521(1): 252--265 (flybase.org/reports/FBrf0220286); Takemura et al., 2013, Nature 500(7461): 175--181 (flybase.org/reports/FBrf0222324)</t>
        </is>
      </c>
      <c r="F1031" t="inlineStr"/>
      <c r="G1031" t="inlineStr"/>
      <c r="H1031" t="inlineStr"/>
    </row>
    <row r="1032">
      <c r="A1032">
        <f>HYPERLINK("https://www.ebi.ac.uk/ols/ontologies/fbbt/terms?iri=http://purl.obolibrary.org/obo/FBbt_00003798","FBbt:00003798")</f>
        <v/>
      </c>
      <c r="B1032" t="inlineStr">
        <is>
          <t>transmedullary neuron Tm10</t>
        </is>
      </c>
      <c r="C1032" t="inlineStr">
        <is>
          <t>Tm10</t>
        </is>
      </c>
      <c r="D1032" t="inlineStr">
        <is>
          <t>Transmedullary neuron that terminates in lobula layers 2, 3 and 4 with both fine and bleb-type arborizations. It displays fine arborizations in medulla layers M1, M3, M6 and M9, and has bleb-type arborizations in layer M1.</t>
        </is>
      </c>
      <c r="E1032" t="inlineStr">
        <is>
          <t>Fischbach and Dittrich, 1989, Cell Tissue Res. 258(3): 441--475 (flybase.org/reports/FBrf0049410)</t>
        </is>
      </c>
      <c r="F1032" t="inlineStr"/>
      <c r="G1032" t="inlineStr"/>
      <c r="H1032" t="inlineStr"/>
    </row>
    <row r="1033">
      <c r="A1033">
        <f>HYPERLINK("https://www.ebi.ac.uk/ols/ontologies/fbbt/terms?iri=http://purl.obolibrary.org/obo/FBbt_00048134","FBbt:00048134")</f>
        <v/>
      </c>
      <c r="B1033" t="inlineStr">
        <is>
          <t>translobula neuron 2</t>
        </is>
      </c>
      <c r="C1033" t="inlineStr">
        <is>
          <t>Tl2</t>
        </is>
      </c>
      <c r="D1033" t="inlineStr">
        <is>
          <t>Translobula neuron that bifurcates and arborizes in the middle layers of the lobula. Both branches innervate all layers of the lobula plate.</t>
        </is>
      </c>
      <c r="E1033" t="inlineStr">
        <is>
          <t>Fischbach and Dittrich, 1989, Cell Tissue Res. 258(3): 441--475 (flybase.org/reports/FBrf0049410)</t>
        </is>
      </c>
      <c r="F1033" t="inlineStr"/>
      <c r="G1033" t="inlineStr"/>
      <c r="H1033" t="inlineStr"/>
    </row>
    <row r="1034">
      <c r="A1034">
        <f>HYPERLINK("https://www.ebi.ac.uk/ols/ontologies/fbbt/terms?iri=http://purl.obolibrary.org/obo/FBbt_00048133","FBbt:00048133")</f>
        <v/>
      </c>
      <c r="B1034" t="inlineStr">
        <is>
          <t>translobula neuron 1</t>
        </is>
      </c>
      <c r="C1034" t="inlineStr">
        <is>
          <t>Tl1</t>
        </is>
      </c>
      <c r="D1034" t="inlineStr">
        <is>
          <t>Translobula neuron found at least in the columns subserving the most frontal visual field. It arborizes in most layers of the lobula and lobula plate.</t>
        </is>
      </c>
      <c r="E1034" t="inlineStr">
        <is>
          <t>Fischbach and Dittrich, 1989, Cell Tissue Res. 258(3): 441--475 (flybase.org/reports/FBrf0049410)</t>
        </is>
      </c>
      <c r="F1034" t="inlineStr"/>
      <c r="G1034" t="inlineStr"/>
      <c r="H1034" t="inlineStr"/>
    </row>
    <row r="1035">
      <c r="A1035">
        <f>HYPERLINK("https://www.ebi.ac.uk/ols/ontologies/fbbt/terms?iri=http://purl.obolibrary.org/obo/FBbt_00110981","FBbt:00110981")</f>
        <v/>
      </c>
      <c r="B1035" t="inlineStr">
        <is>
          <t>transmedullary neuron vGATTmnew</t>
        </is>
      </c>
      <c r="C1035" t="inlineStr">
        <is>
          <t>Tmnew1; vGATTmnew</t>
        </is>
      </c>
      <c r="D1035" t="inlineStr">
        <is>
          <t>Transmedullary neuron that terminates branches in layers M4 and M5, and terminates in lobula layer 6. It is a GABAergic neuron (Varija Raghu et al., 2011). It is a GABAergic neuron.</t>
        </is>
      </c>
      <c r="E1035" t="inlineStr">
        <is>
          <t>Raghu et al., 2013, J. Comp. Neurol. 521(1): 252--265 (flybase.org/reports/FBrf0220286)</t>
        </is>
      </c>
      <c r="F1035" t="inlineStr"/>
      <c r="G1035" t="inlineStr"/>
      <c r="H1035" t="inlineStr"/>
    </row>
    <row r="1036">
      <c r="A1036">
        <f>HYPERLINK("https://www.ebi.ac.uk/ols/ontologies/fbbt/terms?iri=http://purl.obolibrary.org/obo/FBbt_00003719","FBbt:00003719")</f>
        <v/>
      </c>
      <c r="B1036" t="inlineStr">
        <is>
          <t>lamina monopolar neuron L1</t>
        </is>
      </c>
      <c r="C1036" t="inlineStr">
        <is>
          <t>monopolar laminar cell L1; L1</t>
        </is>
      </c>
      <c r="D1036" t="inlineStr">
        <is>
          <t>A lamina monopolar neuron with short collaterals that project radially from the main projection in the lamina and arborizes in medulla layers M1 and M5 (Fischbach and Dittrich, 1989). In the lamina, these short collaterals are postsynaptic to the terminals of photoreceptors R1-6, lamina monopolar neuron L2, lamina intrinsic (amacrine) cells, centrifugal neuron C3 and lamina wide-field neurons Lawf (Meinertzhagen and O'Neil, 1991, Rivera-Alba et al., 2011). In the medulla, it receives synaptic input from photoreceptor R8 (in M1), makes reciprocal synaptic connections with lamina monopolar cell L5 and centrifugal neuron C2, and makes presynaptic contacts with centrifugal neuron C3 (Takemura et al., 2008), Mi1 and Tm3 cells (Takemura et al., 2013). It is also electrically synapsed to lamina monopolar neuron L2 (Joesch et al., 2010). It is a glutamatergic neuron (Gao et al., 2008; Takemura et al., 2011).</t>
        </is>
      </c>
      <c r="E1036" t="inlineStr">
        <is>
          <t>Fischbach and Dittrich, 1989, Cell Tissue Res. 258(3): 441--475 (flybase.org/reports/FBrf0049410); Meinertzhagen and O'Neil, 1991, J. Comp. Neurol. 305(2): 232--263 (flybase.org/reports/FBrf0054529); Takemura et al., 2008, J. Comp. Neurol. 509(5): 493--513 (flybase.org/reports/FBrf0205531); Gao et al., 2008, Neuron 60(2): 328--342 (flybase.org/reports/FBrf0206213); Joesch et al., 2010, Nature 468(7321): 300--304 (flybase.org/reports/FBrf0212262); Rivera-Alba et al., 2011, Curr. Biol. 21(23): 2000--2005 (flybase.org/reports/FBrf0216925); Takemura et al., 2011, Curr. Biol. 21(24): 2077--2084 (flybase.org/reports/FBrf0217052); Takemura et al., 2013, Nature 500(7461): 175--181 (flybase.org/reports/FBrf0222324)</t>
        </is>
      </c>
      <c r="F1036" t="inlineStr"/>
      <c r="G1036" t="inlineStr"/>
      <c r="H1036" t="inlineStr"/>
    </row>
    <row r="1037">
      <c r="A1037">
        <f>HYPERLINK("https://www.ebi.ac.uk/ols/ontologies/fbbt/terms?iri=http://purl.obolibrary.org/obo/FBbt_00110068","FBbt:00110068")</f>
        <v/>
      </c>
      <c r="B1037" t="inlineStr">
        <is>
          <t>distal medullary amacrine neuron Dm8a</t>
        </is>
      </c>
      <c r="C1037" t="inlineStr">
        <is>
          <t>Dm8a; Dm8</t>
        </is>
      </c>
      <c r="D1037" t="inlineStr">
        <is>
          <t>Distal medullary wide-field amacrine neuron whose cell body is located in the cell body rind of the medulla. It branches extensively in medulla layer M6A and extends small centrifugal processes to medulla layer M4. The highest arbor density is found in the center of the cell, within one column, with these regions tiling, while the whole arbor overlaps considerably. In medulla layer M6A, it extends over 10-15 columns in both the anterior-posterior and dorsal-ventral axes. In layer M6A, it is postsynaptic to photoreceptor cells R7 (Gao et al., 2008; Takemura et al., 2013) and R8 (Jagadish et al., 2014) and presynaptic to Tm5c (Gao et al., 2008; Karuppudurai et al., 2014). It also makes synaptic contacts with Tm9 (in M4) (Gao et al., 2008). The contacts with Tm5c are clustered in the center of the dendritic field of Dm8a, which corresponds to approximately one column. It is a glutamatergic neuron (Gao et al., 2008; Karuppudurai et al., 2014).</t>
        </is>
      </c>
      <c r="E1037" t="inlineStr">
        <is>
          <t>Fischbach and Dittrich, 1989, Cell Tissue Res. 258(3): 441--475 (flybase.org/reports/FBrf0049410); Morante and Desplan, 2008, Curr. Biol. 18(8): 553--565 (flybase.org/reports/FBrf0204652); Gao et al., 2008, Neuron 60(2): 328--342 (flybase.org/reports/FBrf0206213); Hasegawa et al., 2011, Development 138(5): 983--993 (flybase.org/reports/FBrf0213020); Takemura et al., 2013, Nature 500(7461): 175--181 (flybase.org/reports/FBrf0222324); Karuppudurai et al., 2014, Neuron 81(3): 603--615 (flybase.org/reports/FBrf0224070); Jagadish et al., 2014, Neuron 83(3): 630--644 (flybase.org/reports/FBrf0225846); Nern et al., 2015, Proc. Natl. Acad. Sci. U.S.A. 112(22): E2967--E2976 (flybase.org/reports/FBrf0228639)</t>
        </is>
      </c>
      <c r="F1037" t="inlineStr"/>
      <c r="G1037" t="inlineStr"/>
      <c r="H1037" t="inlineStr"/>
    </row>
    <row r="1038">
      <c r="A1038">
        <f>HYPERLINK("https://www.ebi.ac.uk/ols/ontologies/fbbt/terms?iri=http://purl.obolibrary.org/obo/FBbt_00110069","FBbt:00110069")</f>
        <v/>
      </c>
      <c r="B1038" t="inlineStr">
        <is>
          <t>distal medullary amacrine neuron Dm8b</t>
        </is>
      </c>
      <c r="C1038" t="inlineStr">
        <is>
          <t>Dm8b</t>
        </is>
      </c>
      <c r="D1038" t="inlineStr">
        <is>
          <t>Distal medullary amacrine neuron that branches in medulla layers M6, M7 and M8 (Hasegawa et al., 2011).</t>
        </is>
      </c>
      <c r="E1038" t="inlineStr">
        <is>
          <t>Hasegawa et al., 2011, Development 138(5): 983--993 (flybase.org/reports/FBrf0213020)</t>
        </is>
      </c>
      <c r="F1038" t="inlineStr"/>
      <c r="G1038" t="inlineStr"/>
      <c r="H1038" t="inlineStr"/>
    </row>
    <row r="1039">
      <c r="A1039">
        <f>HYPERLINK("https://www.ebi.ac.uk/ols/ontologies/fbbt/terms?iri=http://purl.obolibrary.org/obo/FBbt_00003900","FBbt:00003900")</f>
        <v/>
      </c>
      <c r="B1039" t="inlineStr">
        <is>
          <t>translobula plate neuron Tlp10</t>
        </is>
      </c>
      <c r="C1039" t="inlineStr">
        <is>
          <t>Tlp10; translobula-plate neuron Tlp10; translobullar plate neuron Tlp10</t>
        </is>
      </c>
      <c r="D1039" t="inlineStr">
        <is>
          <t>Translobula plate neuron that arborizes in the lobula and lobula plate.</t>
        </is>
      </c>
      <c r="E1039" t="inlineStr">
        <is>
          <t>Fischbach and Dittrich, 1989, Cell Tissue Res. 258(3): 441--475 (flybase.org/reports/FBrf0049410)</t>
        </is>
      </c>
      <c r="F1039" t="inlineStr"/>
      <c r="G1039" t="inlineStr"/>
      <c r="H1039" t="inlineStr"/>
    </row>
    <row r="1040">
      <c r="A1040">
        <f>HYPERLINK("https://www.ebi.ac.uk/ols/ontologies/fbbt/terms?iri=http://purl.obolibrary.org/obo/FBbt_00003740","FBbt:00003740")</f>
        <v/>
      </c>
      <c r="B1040" t="inlineStr">
        <is>
          <t>T neuron T5d</t>
        </is>
      </c>
      <c r="C1040" t="inlineStr">
        <is>
          <t>T5d</t>
        </is>
      </c>
      <c r="D1040" t="inlineStr">
        <is>
          <t>T neuron T5 with a largely bleb-type terminal arborization in lobula plate layer 4.</t>
        </is>
      </c>
      <c r="E1040" t="inlineStr">
        <is>
          <t>Fischbach and Dittrich, 1989, Cell Tissue Res. 258(3): 441--475 (flybase.org/reports/FBrf0049410)</t>
        </is>
      </c>
      <c r="F1040" t="inlineStr"/>
      <c r="G1040" t="inlineStr"/>
      <c r="H1040" t="inlineStr"/>
    </row>
    <row r="1041">
      <c r="A1041">
        <f>HYPERLINK("https://www.ebi.ac.uk/ols/ontologies/fbbt/terms?iri=http://purl.obolibrary.org/obo/FBbt_00110074","FBbt:00110074")</f>
        <v/>
      </c>
      <c r="B1041" t="inlineStr">
        <is>
          <t>transmedullary neuron Tm5c</t>
        </is>
      </c>
      <c r="C1041" t="inlineStr">
        <is>
          <t>None</t>
        </is>
      </c>
      <c r="D1041" t="inlineStr">
        <is>
          <t>Subtype of the transmedullary neuron Tm5. It extends multiple fine dendritic processes that span around eight medulla columns in the M1, M3 and M6 layers. Its axon often bifurcates in lobula layer 4 to terminate in layers 4 to 6. Arbors are found both in columns that contain the photoreceptor axons of yellow and pale ommatidia. It receives input from the photoreceptor cell R8, mostly from terminals in layer M3, but also in M1 and M2, and from the distal medullary amacrine neuron Dm8a in layer M6. It provides input to the lobula intrinsic neuron Li4 via many synapses, and to the lobula tangential neuron Lt11 via fewer ones. It differs from the subtypes Tm5a and Tm5b by its arborization pattern by arborizing in medulla layer M1. It is a glutamatergic neuron (Gao et al., 2008; Karuppudurai et al., 2014).</t>
        </is>
      </c>
      <c r="E1041" t="inlineStr">
        <is>
          <t>Fischbach and Dittrich, 1989, Cell Tissue Res. 258(3): 441--475 (flybase.org/reports/FBrf0049410); Gao et al., 2008, Neuron 60(2): 328--342 (flybase.org/reports/FBrf0206213); Karuppudurai et al., 2014, Neuron 81(3): 603--615 (flybase.org/reports/FBrf0224070); Lin et al., 2016, J. Comp. Neurol. 524(2): 213--227 (flybase.org/reports/FBrf0230403)</t>
        </is>
      </c>
      <c r="F1041" t="inlineStr"/>
      <c r="G1041" t="inlineStr"/>
      <c r="H1041" t="inlineStr"/>
    </row>
    <row r="1042">
      <c r="A1042">
        <f>HYPERLINK("https://www.ebi.ac.uk/ols/ontologies/fbbt/terms?iri=http://purl.obolibrary.org/obo/FBbt_00110033","FBbt:00110033")</f>
        <v/>
      </c>
      <c r="B1042" t="inlineStr">
        <is>
          <t>medullary intrinsic neuron vGlutMinew1a</t>
        </is>
      </c>
      <c r="C1042" t="inlineStr">
        <is>
          <t>vGlutMinew1a; Minew1a</t>
        </is>
      </c>
      <c r="D1042" t="inlineStr">
        <is>
          <t>Medullary intrinsic neuron which projects along one medulla column forming some small lateral branches in layers M1-M5, until it reaches layers M8 and M9, where it arborizes extensively. It is a glutamatergic neuron (Raghu and Borst, 2011).</t>
        </is>
      </c>
      <c r="E1042" t="inlineStr">
        <is>
          <t>Raghu and Borst, 2011, PLoS ONE 6(5): e19472 (flybase.org/reports/FBrf0213690)</t>
        </is>
      </c>
      <c r="F1042" t="inlineStr"/>
      <c r="G1042" t="inlineStr"/>
      <c r="H1042" t="inlineStr"/>
    </row>
    <row r="1043">
      <c r="A1043">
        <f>HYPERLINK("https://www.ebi.ac.uk/ols/ontologies/fbbt/terms?iri=http://purl.obolibrary.org/obo/FBbt_00110072","FBbt:00110072")</f>
        <v/>
      </c>
      <c r="B1043" t="inlineStr">
        <is>
          <t>transmedullary neuron Tm5a</t>
        </is>
      </c>
      <c r="C1043" t="inlineStr">
        <is>
          <t>None</t>
        </is>
      </c>
      <c r="D1043" t="inlineStr">
        <is>
          <t>Subtype of the transmedullary neuron Tm5. It extends a single primary neurite along the photoreceptor axon and arborizes into many fine processes in the M3, M6 and M8 layers. Arbors are only found in columns that contain the photoreceptor axons of yellow ommatidia. Its axon makes a sharp turn and branches out in lobula layers 4 to 6. It receives synaptic contacts from the photoreceptor cell R7 and lamina monopolar neuron L3 (Gao et al., 2008) and projects to lobula layers 4-6. It provides input to the lobula intrinsic neuron Li4 via many synapses, and to the lobula tangential neuron Lt11 via fewer ones. It is very similar to the subtype Tm5b, differing from it by the size, shape of its arborization and the type of photoreceptor columns it arborizes in. It is a cholinergic neuron (Karuppudurai et al., 2014).</t>
        </is>
      </c>
      <c r="E1043" t="inlineStr">
        <is>
          <t>Fischbach and Dittrich, 1989, Cell Tissue Res. 258(3): 441--475 (flybase.org/reports/FBrf0049410); Gao et al., 2008, Neuron 60(2): 328--342 (flybase.org/reports/FBrf0206213); Karuppudurai et al., 2014, Neuron 81(3): 603--615 (flybase.org/reports/FBrf0224070); Lin et al., 2016, J. Comp. Neurol. 524(2): 213--227 (flybase.org/reports/FBrf0230403)</t>
        </is>
      </c>
      <c r="F1043" t="inlineStr"/>
      <c r="G1043" t="inlineStr"/>
      <c r="H1043" t="inlineStr"/>
    </row>
    <row r="1044">
      <c r="A1044">
        <f>HYPERLINK("https://www.ebi.ac.uk/ols/ontologies/fbbt/terms?iri=http://purl.obolibrary.org/obo/FBbt_00110073","FBbt:00110073")</f>
        <v/>
      </c>
      <c r="B1044" t="inlineStr">
        <is>
          <t>transmedullary neuron Tm5b</t>
        </is>
      </c>
      <c r="C1044" t="inlineStr">
        <is>
          <t>None</t>
        </is>
      </c>
      <c r="D1044" t="inlineStr">
        <is>
          <t>Subtype of the transmedullary neuron Tm5. It extends two or three main dendritic branches along the photoreceptor axons and arborizes into many fine processes in the M3, M6 and M8. Arbors are found both in columns that contain the photoreceptor axons of yellow and pale ommatidia. Its axonal terminal forms from multiple short branches in the lobula layers 4 to 6. It receives synaptic contacts from the photoreceptor cell R7, pale or yellow ommatidia. It provides input to the lobula intrinsic neuron Li4 via many synapses, and to the lobula tangential neuron Lt11 via fewer ones. It is very similar to the subtype Tm5a, differing from it by the size, shape of its arborization and the type of photoreceptor columns it arborizes in. It is a cholinergic neuron (Karuppudurai et al., 2014).</t>
        </is>
      </c>
      <c r="E1044" t="inlineStr">
        <is>
          <t>Fischbach and Dittrich, 1989, Cell Tissue Res. 258(3): 441--475 (flybase.org/reports/FBrf0049410); Gao et al., 2008, Neuron 60(2): 328--342 (flybase.org/reports/FBrf0206213); Karuppudurai et al., 2014, Neuron 81(3): 603--615 (flybase.org/reports/FBrf0224070); Lin et al., 2016, J. Comp. Neurol. 524(2): 213--227 (flybase.org/reports/FBrf0230403)</t>
        </is>
      </c>
      <c r="F1044" t="inlineStr"/>
      <c r="G1044" t="inlineStr"/>
      <c r="H1044" t="inlineStr"/>
    </row>
    <row r="1045">
      <c r="A1045">
        <f>HYPERLINK("https://www.ebi.ac.uk/ols/ontologies/fbbt/terms?iri=http://purl.obolibrary.org/obo/FBbt_00003737","FBbt:00003737")</f>
        <v/>
      </c>
      <c r="B1045" t="inlineStr">
        <is>
          <t>T neuron T5a</t>
        </is>
      </c>
      <c r="C1045" t="inlineStr">
        <is>
          <t>T5a</t>
        </is>
      </c>
      <c r="D1045" t="inlineStr">
        <is>
          <t>T neuron T5 with a largely bleb-type terminal arborization in lobula plate layer 1.</t>
        </is>
      </c>
      <c r="E1045" t="inlineStr">
        <is>
          <t>Fischbach and Dittrich, 1989, Cell Tissue Res. 258(3): 441--475 (flybase.org/reports/FBrf0049410)</t>
        </is>
      </c>
      <c r="F1045" t="inlineStr"/>
      <c r="G1045" t="inlineStr"/>
      <c r="H1045" t="inlineStr"/>
    </row>
    <row r="1046">
      <c r="A1046">
        <f>HYPERLINK("https://www.ebi.ac.uk/ols/ontologies/fbbt/terms?iri=http://purl.obolibrary.org/obo/FBbt_00003738","FBbt:00003738")</f>
        <v/>
      </c>
      <c r="B1046" t="inlineStr">
        <is>
          <t>T neuron T5b</t>
        </is>
      </c>
      <c r="C1046" t="inlineStr">
        <is>
          <t>T5b</t>
        </is>
      </c>
      <c r="D1046" t="inlineStr">
        <is>
          <t>T neuron T5 with a largely bleb-type terminal arborization in lobula plate layer 2.</t>
        </is>
      </c>
      <c r="E1046" t="inlineStr">
        <is>
          <t>Fischbach and Dittrich, 1989, Cell Tissue Res. 258(3): 441--475 (flybase.org/reports/FBrf0049410)</t>
        </is>
      </c>
      <c r="F1046" t="inlineStr"/>
      <c r="G1046" t="inlineStr"/>
      <c r="H1046" t="inlineStr"/>
    </row>
    <row r="1047">
      <c r="A1047">
        <f>HYPERLINK("https://www.ebi.ac.uk/ols/ontologies/fbbt/terms?iri=http://purl.obolibrary.org/obo/FBbt_00003735","FBbt:00003735")</f>
        <v/>
      </c>
      <c r="B1047" t="inlineStr">
        <is>
          <t>T neuron T4d</t>
        </is>
      </c>
      <c r="C1047" t="inlineStr">
        <is>
          <t>T4d</t>
        </is>
      </c>
      <c r="D1047" t="inlineStr">
        <is>
          <t>T neuron whose cell body fiber projects through the lobula plate with little or no arborization before bifurcating in the second optic chiasm with one branch forming a fine terminal arborization in medulla layer M9 and M10 and the other branch doubling back to form bleb-type arborizations in the lobula plate layer 4.</t>
        </is>
      </c>
      <c r="E1047" t="inlineStr">
        <is>
          <t>Fischbach and Dittrich, 1989, Cell Tissue Res. 258(3): 441--475 (flybase.org/reports/FBrf0049410)</t>
        </is>
      </c>
      <c r="F1047" t="inlineStr"/>
      <c r="G1047" t="inlineStr"/>
      <c r="H1047" t="inlineStr"/>
    </row>
    <row r="1048">
      <c r="A1048">
        <f>HYPERLINK("https://www.ebi.ac.uk/ols/ontologies/fbbt/terms?iri=http://purl.obolibrary.org/obo/FBbt_00003733","FBbt:00003733")</f>
        <v/>
      </c>
      <c r="B1048" t="inlineStr">
        <is>
          <t>T neuron T4b</t>
        </is>
      </c>
      <c r="C1048" t="inlineStr">
        <is>
          <t>T4b</t>
        </is>
      </c>
      <c r="D1048" t="inlineStr">
        <is>
          <t>T neuron whose cell body fiber projects through the lobula plate with little or no arborization before bifurcating in the second optic chiasm with one branch forming a fine terminal arborization in medulla layer M9 and M10 and the other branch doubling back to form bleb-type arborizations in the lobula plate layer 2.</t>
        </is>
      </c>
      <c r="E1048" t="inlineStr">
        <is>
          <t>Fischbach and Dittrich, 1989, Cell Tissue Res. 258(3): 441--475 (flybase.org/reports/FBrf0049410)</t>
        </is>
      </c>
      <c r="F1048" t="inlineStr"/>
      <c r="G1048" t="inlineStr"/>
      <c r="H1048" t="inlineStr"/>
    </row>
    <row r="1049">
      <c r="A1049">
        <f>HYPERLINK("https://www.ebi.ac.uk/ols/ontologies/fbbt/terms?iri=http://purl.obolibrary.org/obo/FBbt_00003734","FBbt:00003734")</f>
        <v/>
      </c>
      <c r="B1049" t="inlineStr">
        <is>
          <t>T neuron T4c</t>
        </is>
      </c>
      <c r="C1049" t="inlineStr">
        <is>
          <t>T4c</t>
        </is>
      </c>
      <c r="D1049" t="inlineStr">
        <is>
          <t>T neuron whose cell body fiber projects through the lobula plate with little or no arborization before bifurcating in the second optic chiasm with one branch forming a fine terminal arborization in medulla layer M9 and M10 and the other branch doubling back to form bleb-type arborizations in the lobula plate layer 3.</t>
        </is>
      </c>
      <c r="E1049" t="inlineStr">
        <is>
          <t>Fischbach and Dittrich, 1989, Cell Tissue Res. 258(3): 441--475 (flybase.org/reports/FBrf0049410)</t>
        </is>
      </c>
      <c r="F1049" t="inlineStr"/>
      <c r="G1049" t="inlineStr"/>
      <c r="H1049" t="inlineStr"/>
    </row>
    <row r="1050">
      <c r="A1050">
        <f>HYPERLINK("https://www.ebi.ac.uk/ols/ontologies/fbbt/terms?iri=http://purl.obolibrary.org/obo/FBbt_00003732","FBbt:00003732")</f>
        <v/>
      </c>
      <c r="B1050" t="inlineStr">
        <is>
          <t>T neuron T4a</t>
        </is>
      </c>
      <c r="C1050" t="inlineStr">
        <is>
          <t>T4a</t>
        </is>
      </c>
      <c r="D1050" t="inlineStr">
        <is>
          <t>T neuron whose cell body fiber projects through the lobula plate with little or no arborization before bifurcating in the second optic chiasm with one branch forming a fine terminal arborization in medulla layer M9 and M10 and the other branch doubling back to form bleb-type arborizations in the lobula plate layer 1.</t>
        </is>
      </c>
      <c r="E1050" t="inlineStr">
        <is>
          <t>Fischbach and Dittrich, 1989, Cell Tissue Res. 258(3): 441--475 (flybase.org/reports/FBrf0049410)</t>
        </is>
      </c>
      <c r="F1050" t="inlineStr"/>
      <c r="G1050" t="inlineStr"/>
      <c r="H1050" t="inlineStr"/>
    </row>
    <row r="1051">
      <c r="A1051">
        <f>HYPERLINK("https://www.ebi.ac.uk/ols/ontologies/fbbt/terms?iri=http://purl.obolibrary.org/obo/FBbt_00003739","FBbt:00003739")</f>
        <v/>
      </c>
      <c r="B1051" t="inlineStr">
        <is>
          <t>T neuron T5c</t>
        </is>
      </c>
      <c r="C1051" t="inlineStr">
        <is>
          <t>T5c</t>
        </is>
      </c>
      <c r="D1051" t="inlineStr">
        <is>
          <t>T neuron T5 with a bleb-type terminal arborization in lobula plate layer 3.</t>
        </is>
      </c>
      <c r="E1051" t="inlineStr">
        <is>
          <t>Fischbach and Dittrich, 1989, Cell Tissue Res. 258(3): 441--475 (flybase.org/reports/FBrf0049410)</t>
        </is>
      </c>
      <c r="F1051" t="inlineStr"/>
      <c r="G1051" t="inlineStr"/>
      <c r="H1051" t="inlineStr"/>
    </row>
    <row r="1052">
      <c r="A1052">
        <f>HYPERLINK("https://www.ebi.ac.uk/ols/ontologies/fbbt/terms?iri=http://purl.obolibrary.org/obo/FBbt_00003818","FBbt:00003818")</f>
        <v/>
      </c>
      <c r="B1052" t="inlineStr">
        <is>
          <t>transmedullary Y neuron TmY1</t>
        </is>
      </c>
      <c r="C1052" t="inlineStr">
        <is>
          <t>TmY1</t>
        </is>
      </c>
      <c r="D1052" t="inlineStr">
        <is>
          <t>Transmedullary Y wide-field neuron that terminates in lobula layers 2 and 4 with bleb-type arborizations, and in lobula plate layers 1 and 4 with fine arborizations. It displays fine arborizations in medulla layers M1, M2, M3, M4, M5, M6, M8, M9 and M10 (Morante and Desplan, 2008; Fischbach and Dittrich, 1989).</t>
        </is>
      </c>
      <c r="E1052" t="inlineStr">
        <is>
          <t>Fischbach and Dittrich, 1989, Cell Tissue Res. 258(3): 441--475 (flybase.org/reports/FBrf0049410); Morante and Desplan, 2008, Curr. Biol. 18(8): 553--565 (flybase.org/reports/FBrf0204652)</t>
        </is>
      </c>
      <c r="F1052" t="inlineStr"/>
      <c r="G1052" t="inlineStr"/>
      <c r="H1052" t="inlineStr"/>
    </row>
    <row r="1053">
      <c r="A1053">
        <f>HYPERLINK("https://www.ebi.ac.uk/ols/ontologies/fbbt/terms?iri=http://purl.obolibrary.org/obo/FBbt_00003805","FBbt:00003805")</f>
        <v/>
      </c>
      <c r="B1053" t="inlineStr">
        <is>
          <t>transmedullary neuron Tm17</t>
        </is>
      </c>
      <c r="C1053" t="inlineStr">
        <is>
          <t>Tm17</t>
        </is>
      </c>
      <c r="D1053" t="inlineStr">
        <is>
          <t>Transmedullary wide-field neuron that terminates in lobula layer 4 with both fine and bleb-type arborizations. It displays fine arborizations in medulla layers M1, M3, M8 and M9 (Morante and Desplan, 2008; Fischbach and Dittrich, 1989).</t>
        </is>
      </c>
      <c r="E1053" t="inlineStr">
        <is>
          <t>Fischbach and Dittrich, 1989, Cell Tissue Res. 258(3): 441--475 (flybase.org/reports/FBrf0049410); Morante and Desplan, 2008, Curr. Biol. 18(8): 553--565 (flybase.org/reports/FBrf0204652)</t>
        </is>
      </c>
      <c r="F1053" t="inlineStr"/>
      <c r="G1053" t="inlineStr"/>
      <c r="H1053" t="inlineStr"/>
    </row>
    <row r="1054">
      <c r="A1054">
        <f>HYPERLINK("https://www.ebi.ac.uk/ols/ontologies/fbbt/terms?iri=http://purl.obolibrary.org/obo/FBbt_00003819","FBbt:00003819")</f>
        <v/>
      </c>
      <c r="B1054" t="inlineStr">
        <is>
          <t>transmedullary Y neuron TmY2</t>
        </is>
      </c>
      <c r="C1054" t="inlineStr">
        <is>
          <t>TmY2</t>
        </is>
      </c>
      <c r="D1054" t="inlineStr">
        <is>
          <t>Transmedullary Y wide-field neuron that terminates with bleb-type arborizations in lobula layers 3 and 4, and in lobula plate layer 1. It displays both fine and bleb-type arborizations in medulla layers M4, M5, M8 and M9, but has only fine arborizations in medulla layer M6 (Morante and Desplan, 2008; Fischbach and Dittrich, 1989). It is a cholinergic neuron (Varija Raghu et al., 2011).</t>
        </is>
      </c>
      <c r="E1054" t="inlineStr">
        <is>
          <t>Fischbach and Dittrich, 1989, Cell Tissue Res. 258(3): 441--475 (flybase.org/reports/FBrf0049410); Morante and Desplan, 2008, Curr. Biol. 18(8): 553--565 (flybase.org/reports/FBrf0204652); Varija Raghu et al., 2011, J. Comp. Neurol. 519(1): 162--176 (flybase.org/reports/FBrf0212356)</t>
        </is>
      </c>
      <c r="F1054" t="inlineStr"/>
      <c r="G1054" t="inlineStr"/>
      <c r="H1054" t="inlineStr"/>
    </row>
    <row r="1055">
      <c r="A1055">
        <f>HYPERLINK("https://www.ebi.ac.uk/ols/ontologies/fbbt/terms?iri=http://purl.obolibrary.org/obo/FBbt_00003804","FBbt:00003804")</f>
        <v/>
      </c>
      <c r="B1055" t="inlineStr">
        <is>
          <t>transmedullary neuron Tm16</t>
        </is>
      </c>
      <c r="C1055" t="inlineStr">
        <is>
          <t>Tm16</t>
        </is>
      </c>
      <c r="D1055" t="inlineStr">
        <is>
          <t>Transmedullary wide-field neuron that terminates in lobula layers 4, 5 and 6 with fine arborizations, and with bleb-type arborizations in layers 5 and 6. It displays fine arborizations in medulla layers M1, M3, M4, M5, M8 and M9, and has bleb-type arborizations in layers M3, M4, M5, M8 and M9 (Morante and Desplan, 2008; Fischbach and Dittrich, 1989).</t>
        </is>
      </c>
      <c r="E1055" t="inlineStr">
        <is>
          <t>Fischbach and Dittrich, 1989, Cell Tissue Res. 258(3): 441--475 (flybase.org/reports/FBrf0049410); Morante and Desplan, 2008, Curr. Biol. 18(8): 553--565 (flybase.org/reports/FBrf0204652)</t>
        </is>
      </c>
      <c r="F1055" t="inlineStr"/>
      <c r="G1055" t="inlineStr"/>
      <c r="H1055" t="inlineStr"/>
    </row>
    <row r="1056">
      <c r="A1056">
        <f>HYPERLINK("https://www.ebi.ac.uk/ols/ontologies/fbbt/terms?iri=http://purl.obolibrary.org/obo/FBbt_00110132","FBbt:00110132")</f>
        <v/>
      </c>
      <c r="B1056" t="inlineStr">
        <is>
          <t>transmedullary neuron TmLM8</t>
        </is>
      </c>
      <c r="C1056" t="inlineStr">
        <is>
          <t>TmLM8</t>
        </is>
      </c>
      <c r="D1056" t="inlineStr">
        <is>
          <t>Transmedullary wide-field neuron that arborizes extensively in medulla layer M8, and also in M9-M10. The finest terminals in the medulla are dendritic, forming post-synaptic terminals. It projects to the lobula (Morante and Desplan, 2008).</t>
        </is>
      </c>
      <c r="E1056" t="inlineStr">
        <is>
          <t>Morante and Desplan, 2008, Curr. Biol. 18(8): 553--565 (flybase.org/reports/FBrf0204652)</t>
        </is>
      </c>
      <c r="F1056" t="inlineStr"/>
      <c r="G1056" t="inlineStr"/>
      <c r="H1056" t="inlineStr"/>
    </row>
    <row r="1057">
      <c r="A1057">
        <f>HYPERLINK("https://www.ebi.ac.uk/ols/ontologies/fbbt/terms?iri=http://purl.obolibrary.org/obo/FBbt_00110131","FBbt:00110131")</f>
        <v/>
      </c>
      <c r="B1057" t="inlineStr">
        <is>
          <t>transmedullary neuron TmLM7</t>
        </is>
      </c>
      <c r="C1057" t="inlineStr">
        <is>
          <t>TmLM7</t>
        </is>
      </c>
      <c r="D1057" t="inlineStr">
        <is>
          <t>Transmedullary wide-field neuron that arborizes extensively in medulla layer M7, and also in M8-M10. The finest terminals in the medulla are dendritic, forming post-synaptic terminals. It projects to the lobula (Morante and Desplan, 2008).</t>
        </is>
      </c>
      <c r="E1057" t="inlineStr">
        <is>
          <t>Morante and Desplan, 2008, Curr. Biol. 18(8): 553--565 (flybase.org/reports/FBrf0204652)</t>
        </is>
      </c>
      <c r="F1057" t="inlineStr"/>
      <c r="G1057" t="inlineStr"/>
      <c r="H1057" t="inlineStr"/>
    </row>
    <row r="1058">
      <c r="A1058">
        <f>HYPERLINK("https://www.ebi.ac.uk/ols/ontologies/fbbt/terms?iri=http://purl.obolibrary.org/obo/FBbt_00003800","FBbt:00003800")</f>
        <v/>
      </c>
      <c r="B1058" t="inlineStr">
        <is>
          <t>transmedullary neuron Tm12</t>
        </is>
      </c>
      <c r="C1058" t="inlineStr">
        <is>
          <t>Tm12</t>
        </is>
      </c>
      <c r="D1058" t="inlineStr">
        <is>
          <t>Transmedullary wide-field neuron that terminates in lobula layers 3 and 5 with bleb-type arborizations. It displays fine arborizations in medulla layers M1, M2, M3, M4, M5, M6, M8 and M9, and has bleb-type arborizations in layers M6 and M9 (Fischbach and Dittrich, 1989; Morante and Desplan, 2008). It is a cholinergic neuron (Varija Raghu et al., 2011).</t>
        </is>
      </c>
      <c r="E1058" t="inlineStr">
        <is>
          <t>Fischbach and Dittrich, 1989, Cell Tissue Res. 258(3): 441--475 (flybase.org/reports/FBrf0049410); Morante and Desplan, 2008, Curr. Biol. 18(8): 553--565 (flybase.org/reports/FBrf0204652); Varija Raghu et al., 2011, J. Comp. Neurol. 519(1): 162--176 (flybase.org/reports/FBrf0212356)</t>
        </is>
      </c>
      <c r="F1058" t="inlineStr"/>
      <c r="G1058" t="inlineStr"/>
      <c r="H1058" t="inlineStr"/>
    </row>
    <row r="1059">
      <c r="A1059">
        <f>HYPERLINK("https://www.ebi.ac.uk/ols/ontologies/fbbt/terms?iri=http://purl.obolibrary.org/obo/FBbt_00110130","FBbt:00110130")</f>
        <v/>
      </c>
      <c r="B1059" t="inlineStr">
        <is>
          <t>transmedullary neuron TmR7 P and Y</t>
        </is>
      </c>
      <c r="C1059" t="inlineStr">
        <is>
          <t>TmR7 P and Y; TmP&amp;Y R7</t>
        </is>
      </c>
      <c r="D1059" t="inlineStr">
        <is>
          <t>Transmedullary wide-field neuron that arborizes in medulla layers M3, M7 and M8. It enters the medulla along a specific column and then extending its arborizations to cover two to ten columns. It projects to the lobula (Morante and Desplan, 2008).</t>
        </is>
      </c>
      <c r="E1059" t="inlineStr">
        <is>
          <t>Morante and Desplan, 2008, Curr. Biol. 18(8): 553--565 (flybase.org/reports/FBrf0204652)</t>
        </is>
      </c>
      <c r="F1059" t="inlineStr"/>
      <c r="G1059" t="inlineStr"/>
      <c r="H1059" t="inlineStr"/>
    </row>
    <row r="1060">
      <c r="A1060">
        <f>HYPERLINK("https://www.ebi.ac.uk/ols/ontologies/fbbt/terms?iri=http://purl.obolibrary.org/obo/FBbt_00003808","FBbt:00003808")</f>
        <v/>
      </c>
      <c r="B1060" t="inlineStr">
        <is>
          <t>transmedullary neuron Tm20</t>
        </is>
      </c>
      <c r="C1060" t="inlineStr">
        <is>
          <t>Tm20</t>
        </is>
      </c>
      <c r="D1060" t="inlineStr">
        <is>
          <t>Transmedullary wide-field neuron that displays fine arborizations in medulla layers M1, M2, M3 and M8, and has bleb-type arborizations in layers M3 and M8 (Morante and Desplan, 2008; Fischbach and Dittrich, 1989). Axonal terminals are found in lobula layers 4 to 6. It receives input from lamina monopolar neuron L2 and L3 and photoreceptor cell R8 (Takemura et al., 2013). It provides input to the lobula intrinsic neuron Li4 via many synapses, and to the lobula tangential neuron Lt11 via fewer ones. It is a a cholinergic neuron (Gao et al., 2008).</t>
        </is>
      </c>
      <c r="E1060" t="inlineStr">
        <is>
          <t>Fischbach and Dittrich, 1989, Cell Tissue Res. 258(3): 441--475 (flybase.org/reports/FBrf0049410); Morante and Desplan, 2008, Curr. Biol. 18(8): 553--565 (flybase.org/reports/FBrf0204652); Gao et al., 2008, Neuron 60(2): 328--342 (flybase.org/reports/FBrf0206213); Takemura et al., 2013, Nature 500(7461): 175--181 (flybase.org/reports/FBrf0222324); Lin et al., 2016, J. Comp. Neurol. 524(2): 213--227 (flybase.org/reports/FBrf0230403)</t>
        </is>
      </c>
      <c r="F1060" t="inlineStr"/>
      <c r="G1060" t="inlineStr"/>
      <c r="H1060" t="inlineStr"/>
    </row>
    <row r="1061">
      <c r="A1061">
        <f>HYPERLINK("https://www.ebi.ac.uk/ols/ontologies/fbbt/terms?iri=http://purl.obolibrary.org/obo/FBbt_00110089","FBbt:00110089")</f>
        <v/>
      </c>
      <c r="B1061" t="inlineStr">
        <is>
          <t>lobula plate intrinsic neuron ChaLPinew1</t>
        </is>
      </c>
      <c r="C1061" t="inlineStr">
        <is>
          <t>LPinew1; ChaLPinew1</t>
        </is>
      </c>
      <c r="D1061" t="inlineStr">
        <is>
          <t>A lobula plate intrinsic neuron that arborizes in lobula plate layers 1 and 2. It is a cholinergic neuron (Varija Raghu et al., 2011).</t>
        </is>
      </c>
      <c r="E1061" t="inlineStr">
        <is>
          <t>Varija Raghu et al., 2011, J. Comp. Neurol. 519(1): 162--176 (flybase.org/reports/FBrf0212356)</t>
        </is>
      </c>
      <c r="F1061" t="inlineStr"/>
      <c r="G1061" t="inlineStr"/>
      <c r="H1061" t="inlineStr"/>
    </row>
    <row r="1062">
      <c r="A1062">
        <f>HYPERLINK("https://www.ebi.ac.uk/ols/ontologies/fbbt/terms?iri=http://purl.obolibrary.org/obo/FBbt_00110088","FBbt:00110088")</f>
        <v/>
      </c>
      <c r="B1062" t="inlineStr">
        <is>
          <t>lobula plate intrinsic neuron LPi1</t>
        </is>
      </c>
      <c r="C1062" t="inlineStr">
        <is>
          <t>LPi1</t>
        </is>
      </c>
      <c r="D1062" t="inlineStr">
        <is>
          <t>A lobula plate intrinsic neuron that arborizes in lobula plate layers 2 to 4. It seems to be capable of both glutamatergic and GABAergic neurotransmission.</t>
        </is>
      </c>
      <c r="E1062" t="inlineStr">
        <is>
          <t>Raghu and Borst, 2011, PLoS ONE 6(5): e19472 (flybase.org/reports/FBrf0213690); Raghu et al., 2013, J. Comp. Neurol. 521(1): 252--265 (flybase.org/reports/FBrf0220286)</t>
        </is>
      </c>
      <c r="F1062" t="inlineStr"/>
      <c r="G1062" t="inlineStr"/>
      <c r="H1062" t="inlineStr"/>
    </row>
    <row r="1063">
      <c r="A1063">
        <f>HYPERLINK("https://www.ebi.ac.uk/ols/ontologies/fbbt/terms?iri=http://purl.obolibrary.org/obo/FBbt_00111287","FBbt:00111287")</f>
        <v/>
      </c>
      <c r="B1063" t="inlineStr">
        <is>
          <t>transmedullary Y neuron TmY13</t>
        </is>
      </c>
      <c r="C1063" t="inlineStr">
        <is>
          <t>None</t>
        </is>
      </c>
      <c r="D1063" t="inlineStr">
        <is>
          <t>Transmedullary Y wide-field neuron that terminates in lobula layers 4 and 5 and lobula plate layers 1 to 2. It displays fine arborizations in medulla layers M1, M3-M4 and M8.</t>
        </is>
      </c>
      <c r="E1063" t="inlineStr">
        <is>
          <t>Fischbach and Dittrich, 1989, Cell Tissue Res. 258(3): 441--475 (flybase.org/reports/FBrf0049410)</t>
        </is>
      </c>
      <c r="F1063" t="inlineStr"/>
      <c r="G1063" t="inlineStr"/>
      <c r="H1063" t="inlineStr"/>
    </row>
    <row r="1064">
      <c r="A1064">
        <f>HYPERLINK("https://www.ebi.ac.uk/ols/ontologies/fbbt/terms?iri=http://purl.obolibrary.org/obo/FBbt_00111286","FBbt:00111286")</f>
        <v/>
      </c>
      <c r="B1064" t="inlineStr">
        <is>
          <t>transmedullary Y neuron TmY14</t>
        </is>
      </c>
      <c r="C1064" t="inlineStr">
        <is>
          <t>None</t>
        </is>
      </c>
      <c r="D1064" t="inlineStr">
        <is>
          <t>Transmedullary Y wide-field neuron that terminates in the lobula and lobula plate. It displays fine arborizations in medulla layers M3-M5 and M8-M10. It projects to the central brain, an unusual feature in TmY neurons.</t>
        </is>
      </c>
      <c r="E1064" t="inlineStr">
        <is>
          <t>Takemura et al., 2013, Nature 500(7461): 175--181 (flybase.org/reports/FBrf0222324)</t>
        </is>
      </c>
      <c r="F1064" t="inlineStr"/>
      <c r="G1064" t="inlineStr"/>
      <c r="H1064" t="inlineStr"/>
    </row>
    <row r="1065">
      <c r="A1065">
        <f>HYPERLINK("https://www.ebi.ac.uk/ols/ontologies/fbbt/terms?iri=http://purl.obolibrary.org/obo/FBbt_00003834","FBbt:00003834")</f>
        <v/>
      </c>
      <c r="B1065" t="inlineStr">
        <is>
          <t>proximal medullary amacrine neuron Pm1a</t>
        </is>
      </c>
      <c r="C1065" t="inlineStr">
        <is>
          <t>Pm1a</t>
        </is>
      </c>
      <c r="D1065" t="inlineStr">
        <is>
          <t>Proximal medullary amacrine neuron branches at the proximal surface of the medulla, with both branches forming a broad terminal arbor with mixed morphology terminals that is restricted to medulla layer M9. It is a cholinergic neuron (Varija Raghu et al., 2011).</t>
        </is>
      </c>
      <c r="E1065" t="inlineStr">
        <is>
          <t>Fischbach and Dittrich, 1989, Cell Tissue Res. 258(3): 441--475 (flybase.org/reports/FBrf0049410); Varija Raghu et al., 2011, J. Comp. Neurol. 519(1): 162--176 (flybase.org/reports/FBrf0212356)</t>
        </is>
      </c>
      <c r="F1065" t="inlineStr"/>
      <c r="G1065" t="inlineStr"/>
      <c r="H1065" t="inlineStr"/>
    </row>
    <row r="1066">
      <c r="A1066">
        <f>HYPERLINK("https://www.ebi.ac.uk/ols/ontologies/fbbt/terms?iri=http://purl.obolibrary.org/obo/FBbt_00003823","FBbt:00003823")</f>
        <v/>
      </c>
      <c r="B1066" t="inlineStr">
        <is>
          <t>transmedullary Y neuron TmY5a</t>
        </is>
      </c>
      <c r="C1066" t="inlineStr">
        <is>
          <t>TmY5a</t>
        </is>
      </c>
      <c r="D1066" t="inlineStr">
        <is>
          <t>Transmedullary Y narrow field neuron that terminates with both fine and bleb-type arborizations in lobula layers 4, 5 and 6, and in lobula plate layer 3, but only has fine arborizations in lobula plate layer 1. It displays both fine and bleb-type arborizations in medulla layers M6 and M8, and has fine arborizations in medulla layers M2, M3, M4, M5 and M9 (Morante and Desplan, 2008; Fischbach and Dittrich (1989). It receives input from Tm4 (Takemura et al., 2013).</t>
        </is>
      </c>
      <c r="E1066" t="inlineStr">
        <is>
          <t>Fischbach and Dittrich, 1989, Cell Tissue Res. 258(3): 441--475 (flybase.org/reports/FBrf0049410); Morante and Desplan, 2008, Curr. Biol. 18(8): 553--565 (flybase.org/reports/FBrf0204652); Takemura et al., 2013, Nature 500(7461): 175--181 (flybase.org/reports/FBrf0222324)</t>
        </is>
      </c>
      <c r="F1066" t="inlineStr"/>
      <c r="G1066" t="inlineStr"/>
      <c r="H1066" t="inlineStr"/>
    </row>
    <row r="1067">
      <c r="A1067">
        <f>HYPERLINK("https://www.ebi.ac.uk/ols/ontologies/fbbt/terms?iri=http://purl.obolibrary.org/obo/FBbt_00003822","FBbt:00003822")</f>
        <v/>
      </c>
      <c r="B1067" t="inlineStr">
        <is>
          <t>transmedullary Y neuron TmY5</t>
        </is>
      </c>
      <c r="C1067" t="inlineStr">
        <is>
          <t>TmY5</t>
        </is>
      </c>
      <c r="D1067" t="inlineStr">
        <is>
          <t>Transmedullary Y narrow field neuron that terminates with both fine and bleb-type arborizations in lobula layers 5 and 6, and in lobula plate layers 1, 2, 3 and 4, but it has only fine arborizations in lobula layer 4. It has both fine and bleb-type arborizations in medulla layer M10, but displays only fine arborizations in medulla layers M3, M5, M6, the serpentine layer, M8 and M9 (Morante and Desplan, 2008; Fischbach and Dittrich, 1989). It is a cholinergic neuron (Varija Raghu et al., 2011).</t>
        </is>
      </c>
      <c r="E1067" t="inlineStr">
        <is>
          <t>Fischbach and Dittrich, 1989, Cell Tissue Res. 258(3): 441--475 (flybase.org/reports/FBrf0049410); Morante and Desplan, 2008, Curr. Biol. 18(8): 553--565 (flybase.org/reports/FBrf0204652); Varija Raghu et al., 2011, J. Comp. Neurol. 519(1): 162--176 (flybase.org/reports/FBrf0212356)</t>
        </is>
      </c>
      <c r="F1067" t="inlineStr"/>
      <c r="G1067" t="inlineStr"/>
      <c r="H1067" t="inlineStr"/>
    </row>
    <row r="1068">
      <c r="A1068">
        <f>HYPERLINK("https://www.ebi.ac.uk/ols/ontologies/fbbt/terms?iri=http://purl.obolibrary.org/obo/FBbt_00003831","FBbt:00003831")</f>
        <v/>
      </c>
      <c r="B1068" t="inlineStr">
        <is>
          <t>transmedullary neuron Tm5Y</t>
        </is>
      </c>
      <c r="C1068" t="inlineStr">
        <is>
          <t>None</t>
        </is>
      </c>
      <c r="D1068" t="inlineStr">
        <is>
          <t>Transmedullary narrow field neuron that terminates in lobula layers 4 and 5 with bleb-type arborizations. It displays fine arborizations in medulla layers M3, M4, M5, M6, M8 and the serpentine layer, and has bleb-type terminals in layers M6 and M8 (Morante and Desplan, 2008; Fischbach and Dittrich, 1989). It differs from transmedullary neuron Tm and transmedullary Y neuron TmY5 in that individuals of a retinotopic set may or may not form branches in the lobula plate (Fischbach and Dittrich, 1989).</t>
        </is>
      </c>
      <c r="E1068" t="inlineStr">
        <is>
          <t>Fischbach and Dittrich, 1989, Cell Tissue Res. 258(3): 441--475 (flybase.org/reports/FBrf0049410); Morante and Desplan, 2008, Curr. Biol. 18(8): 553--565 (flybase.org/reports/FBrf0204652)</t>
        </is>
      </c>
      <c r="F1068" t="inlineStr"/>
      <c r="G1068" t="inlineStr"/>
      <c r="H1068" t="inlineStr"/>
    </row>
    <row r="1069">
      <c r="A1069">
        <f>HYPERLINK("https://www.ebi.ac.uk/ols/ontologies/fbbt/terms?iri=http://purl.obolibrary.org/obo/FBbt_00003830","FBbt:00003830")</f>
        <v/>
      </c>
      <c r="B1069" t="inlineStr">
        <is>
          <t>transmedullary neuron Tm3Y</t>
        </is>
      </c>
      <c r="C1069" t="inlineStr">
        <is>
          <t>Tm3Y</t>
        </is>
      </c>
      <c r="D1069" t="inlineStr">
        <is>
          <t>Transmedullary neuron that terminates in lobula layer 4 with bleb-like terminal arborizations. It has fine arborizations in medulla layers M1, M4, and M5, and has bleb-type arborization in medulla layers M1, M4, M9 and M10. It differs from the transmedullary neuron Tm3 or TmY3 in that an individual of a retinotopic set may or may not form branches in the lobula plate.</t>
        </is>
      </c>
      <c r="E1069" t="inlineStr">
        <is>
          <t>Fischbach and Dittrich, 1989, Cell Tissue Res. 258(3): 441--475 (flybase.org/reports/FBrf0049410)</t>
        </is>
      </c>
      <c r="F1069" t="inlineStr"/>
      <c r="G1069" t="inlineStr"/>
      <c r="H1069" t="inlineStr"/>
    </row>
    <row r="1070">
      <c r="A1070">
        <f>HYPERLINK("https://www.ebi.ac.uk/ols/ontologies/fbbt/terms?iri=http://purl.obolibrary.org/obo/FBbt_00111288","FBbt:00111288")</f>
        <v/>
      </c>
      <c r="B1070" t="inlineStr">
        <is>
          <t>lobula plate intrinsic neuron LPi4-3</t>
        </is>
      </c>
      <c r="C1070" t="inlineStr">
        <is>
          <t>LPi4-3</t>
        </is>
      </c>
      <c r="D1070" t="inlineStr">
        <is>
          <t>A lobula plate intrinsic neuron whose cell body is on the ventral region of the cell body rind of the lobula plate. The primary neurite is short, terminating in lobula plate layers 3 and 4. It has presynaptic terminals in layer 3 and postsynaptic ones in layer 4. It is a glutamatergic neuron.</t>
        </is>
      </c>
      <c r="E1070" t="inlineStr">
        <is>
          <t>Mauss et al., 2015, Cell 162(2): 351--362 (flybase.org/reports/FBrf0228988)</t>
        </is>
      </c>
      <c r="F1070" t="inlineStr"/>
      <c r="G1070" t="inlineStr"/>
      <c r="H1070" t="inlineStr"/>
    </row>
    <row r="1071">
      <c r="A1071">
        <f>HYPERLINK("https://www.ebi.ac.uk/ols/ontologies/fbbt/terms?iri=http://purl.obolibrary.org/obo/FBbt_00111289","FBbt:00111289")</f>
        <v/>
      </c>
      <c r="B1071" t="inlineStr">
        <is>
          <t>lobula plate intrinsic neuron LPi3-4</t>
        </is>
      </c>
      <c r="C1071" t="inlineStr">
        <is>
          <t>LPi3-4</t>
        </is>
      </c>
      <c r="D1071" t="inlineStr">
        <is>
          <t>A lobula plate intrinsic neuron whose cell body is on the cell body rind of medulla. The primary neurite traverses the medulla, from distal to proximal and terminates in lobula plate layers 3 and 4. It has presynaptic terminals in layer 4 and postsynaptic ones in layer 3. It receives input from the vertical system neurons in layer 4. It is a glutamatergic neuron.</t>
        </is>
      </c>
      <c r="E1071" t="inlineStr">
        <is>
          <t>Mauss et al., 2015, Cell 162(2): 351--362 (flybase.org/reports/FBrf0228988)</t>
        </is>
      </c>
      <c r="F1071" t="inlineStr"/>
      <c r="G1071" t="inlineStr"/>
      <c r="H1071" t="inlineStr"/>
    </row>
    <row r="1072">
      <c r="A1072">
        <f>HYPERLINK("https://www.ebi.ac.uk/ols/ontologies/fbbt/terms?iri=http://purl.obolibrary.org/obo/FBbt_00003824","FBbt:00003824")</f>
        <v/>
      </c>
      <c r="B1072" t="inlineStr">
        <is>
          <t>transmedullary Y neuron TmY6</t>
        </is>
      </c>
      <c r="C1072" t="inlineStr">
        <is>
          <t>None</t>
        </is>
      </c>
      <c r="D1072" t="inlineStr">
        <is>
          <t>Transmedullary Y neuron that arborizes in the lobula, lobula plate and medulla.</t>
        </is>
      </c>
      <c r="E1072" t="inlineStr">
        <is>
          <t>Fischbach and Dittrich, 1989, Cell Tissue Res. 258(3): 441--475 (flybase.org/reports/FBrf0049410)</t>
        </is>
      </c>
      <c r="F1072" t="inlineStr"/>
      <c r="G1072" t="inlineStr"/>
      <c r="H1072" t="inlineStr"/>
    </row>
    <row r="1073">
      <c r="A1073">
        <f>HYPERLINK("https://www.ebi.ac.uk/ols/ontologies/fbbt/terms?iri=http://purl.obolibrary.org/obo/FBbt_00003820","FBbt:00003820")</f>
        <v/>
      </c>
      <c r="B1073" t="inlineStr">
        <is>
          <t>transmedullary Y neuron TmY3</t>
        </is>
      </c>
      <c r="C1073" t="inlineStr">
        <is>
          <t>TmY3</t>
        </is>
      </c>
      <c r="D1073" t="inlineStr">
        <is>
          <t>Transmedullary Y neuron that terminates with bleb-type arborizations in lobula layers 4 and lobula plate layer 4. It displays fine arborizations in medulla layers M1, M2, M4, M5, M6, M8, and M10, and has bleb-type arborizations in medulla layers M5 and M10.</t>
        </is>
      </c>
      <c r="E1073" t="inlineStr">
        <is>
          <t>Fischbach and Dittrich, 1989, Cell Tissue Res. 258(3): 441--475 (flybase.org/reports/FBrf0049410)</t>
        </is>
      </c>
      <c r="F1073" t="inlineStr"/>
      <c r="G1073" t="inlineStr"/>
      <c r="H1073" t="inlineStr"/>
    </row>
    <row r="1074">
      <c r="A1074">
        <f>HYPERLINK("https://www.ebi.ac.uk/ols/ontologies/fbbt/terms?iri=http://purl.obolibrary.org/obo/FBbt_00003821","FBbt:00003821")</f>
        <v/>
      </c>
      <c r="B1074" t="inlineStr">
        <is>
          <t>transmedullary Y neuron TmY4</t>
        </is>
      </c>
      <c r="C1074" t="inlineStr">
        <is>
          <t>TmY4</t>
        </is>
      </c>
      <c r="D1074" t="inlineStr">
        <is>
          <t>Transmedullary Y wide-field neuron that terminates with both fine and bleb-type arborizations in lobula layer 4 and in lobula plate layers 2, 3 and 4, but shows only fine arborizations in lobula plate layer 1. It displays both fine and bleb-type arborizations in medulla layer M8, but has only fine arborizations in medulla layer M3 and M4 (Morante and Desplan, 2008; Fischbach and Dittrich, 1989).</t>
        </is>
      </c>
      <c r="E1074" t="inlineStr">
        <is>
          <t>Fischbach and Dittrich, 1989, Cell Tissue Res. 258(3): 441--475 (flybase.org/reports/FBrf0049410); Morante and Desplan, 2008, Curr. Biol. 18(8): 553--565 (flybase.org/reports/FBrf0204652)</t>
        </is>
      </c>
      <c r="F1074" t="inlineStr"/>
      <c r="G1074" t="inlineStr"/>
      <c r="H1074" t="inlineStr"/>
    </row>
    <row r="1075">
      <c r="A1075">
        <f>HYPERLINK("https://www.ebi.ac.uk/ols/ontologies/fbbt/terms?iri=http://purl.obolibrary.org/obo/FBbt_00003829","FBbt:00003829")</f>
        <v/>
      </c>
      <c r="B1075" t="inlineStr">
        <is>
          <t>transmedullary Y neuron TmY11</t>
        </is>
      </c>
      <c r="C1075" t="inlineStr">
        <is>
          <t>TmY11</t>
        </is>
      </c>
      <c r="D1075" t="inlineStr">
        <is>
          <t>Transmedullary Y wide-field neuron that terminates with fine arborizations in lobula plate layers 1 and 3, and has bleb-type arborizations in lobula layers 4 and 5, and in lobula plate layer 3. It displays both fine and bleb-type arborizations in medulla layer M3, and has only fine arborizations in medulla layer M8, M9 and M10 (Morante and Desplan, 2008; Fischbach and Dittrich, 1989). It is a cholinergic neuron (Varija Raghu et al., 2011).</t>
        </is>
      </c>
      <c r="E1075" t="inlineStr">
        <is>
          <t>Fischbach and Dittrich, 1989, Cell Tissue Res. 258(3): 441--475 (flybase.org/reports/FBrf0049410); Morante and Desplan, 2008, Curr. Biol. 18(8): 553--565 (flybase.org/reports/FBrf0204652); Varija Raghu et al., 2011, J. Comp. Neurol. 519(1): 162--176 (flybase.org/reports/FBrf0212356)</t>
        </is>
      </c>
      <c r="F1075" t="inlineStr"/>
      <c r="G1075" t="inlineStr"/>
      <c r="H1075" t="inlineStr"/>
    </row>
    <row r="1076">
      <c r="A1076">
        <f>HYPERLINK("https://www.ebi.ac.uk/ols/ontologies/fbbt/terms?iri=http://purl.obolibrary.org/obo/FBbt_00003816","FBbt:00003816")</f>
        <v/>
      </c>
      <c r="B1076" t="inlineStr">
        <is>
          <t>transmedullary neuron Tm28</t>
        </is>
      </c>
      <c r="C1076" t="inlineStr">
        <is>
          <t>Tm28</t>
        </is>
      </c>
      <c r="D1076" t="inlineStr">
        <is>
          <t>Transmedullary wide-field neuron that terminates in lobula layer with bleb-type arborizations. It displays fine arborizations in medulla layers M2 and M3 (Morante and Desplan, 2008; Fischbach and Dittrich, 1989).</t>
        </is>
      </c>
      <c r="E1076" t="inlineStr">
        <is>
          <t>Fischbach and Dittrich, 1989, Cell Tissue Res. 258(3): 441--475 (flybase.org/reports/FBrf0049410); Morante and Desplan, 2008, Curr. Biol. 18(8): 553--565 (flybase.org/reports/FBrf0204652)</t>
        </is>
      </c>
      <c r="F1076" t="inlineStr"/>
      <c r="G1076" t="inlineStr"/>
      <c r="H1076" t="inlineStr"/>
    </row>
    <row r="1077">
      <c r="A1077">
        <f>HYPERLINK("https://www.ebi.ac.uk/ols/ontologies/fbbt/terms?iri=http://purl.obolibrary.org/obo/FBbt_00003827","FBbt:00003827")</f>
        <v/>
      </c>
      <c r="B1077" t="inlineStr">
        <is>
          <t>transmedullary Y neuron TmY9</t>
        </is>
      </c>
      <c r="C1077" t="inlineStr">
        <is>
          <t>TmY9</t>
        </is>
      </c>
      <c r="D1077" t="inlineStr">
        <is>
          <t>Transmedullary Y wide-field neuron that terminates with both fine and bleb-type arborizations in lobula layer 5, and in lobula plate layers 1 and 2. It displays both fine and bleb-type arborizations in medulla layers M3 and M8, but has only fine arborizations in medulla layer M4 (Morante and Desplan, 2008; Fischbach and Dittrich, 1989). It seems to be capable of both cholinergic and GABAergic neurotransmission.</t>
        </is>
      </c>
      <c r="E1077" t="inlineStr">
        <is>
          <t>Fischbach and Dittrich, 1989, Cell Tissue Res. 258(3): 441--475 (flybase.org/reports/FBrf0049410); Morante and Desplan, 2008, Curr. Biol. 18(8): 553--565 (flybase.org/reports/FBrf0204652); Varija Raghu et al., 2011, J. Comp. Neurol. 519(1): 162--176 (flybase.org/reports/FBrf0212356); Raghu et al., 2013, J. Comp. Neurol. 521(1): 252--265 (flybase.org/reports/FBrf0220286)</t>
        </is>
      </c>
      <c r="F1077" t="inlineStr"/>
      <c r="G1077" t="inlineStr"/>
      <c r="H1077" t="inlineStr"/>
    </row>
    <row r="1078">
      <c r="A1078">
        <f>HYPERLINK("https://www.ebi.ac.uk/ols/ontologies/fbbt/terms?iri=http://purl.obolibrary.org/obo/FBbt_00003828","FBbt:00003828")</f>
        <v/>
      </c>
      <c r="B1078" t="inlineStr">
        <is>
          <t>transmedullary Y neuron TmY10</t>
        </is>
      </c>
      <c r="C1078" t="inlineStr">
        <is>
          <t>TmY10</t>
        </is>
      </c>
      <c r="D1078" t="inlineStr">
        <is>
          <t>Transmedullary Y neuron that terminates with bleb-type arborizations in lobula layers 5 and 6, and in lobula plate layer 1. It displays both fine and bleb-type arborizations in medulla layers M3, M6 and M8, but has only fine arborizations in medulla layer M4 and the serpentine layer. It is a cholinergic neuron (Varija Raghu et al., 2011).</t>
        </is>
      </c>
      <c r="E1078" t="inlineStr">
        <is>
          <t>Fischbach and Dittrich, 1989, Cell Tissue Res. 258(3): 441--475 (flybase.org/reports/FBrf0049410); Varija Raghu et al., 2011, J. Comp. Neurol. 519(1): 162--176 (flybase.org/reports/FBrf0212356)</t>
        </is>
      </c>
      <c r="F1078" t="inlineStr"/>
      <c r="G1078" t="inlineStr"/>
      <c r="H1078" t="inlineStr"/>
    </row>
    <row r="1079">
      <c r="A1079">
        <f>HYPERLINK("https://www.ebi.ac.uk/ols/ontologies/fbbt/terms?iri=http://purl.obolibrary.org/obo/FBbt_00003814","FBbt:00003814")</f>
        <v/>
      </c>
      <c r="B1079" t="inlineStr">
        <is>
          <t>transmedullary neuron Tm26</t>
        </is>
      </c>
      <c r="C1079" t="inlineStr">
        <is>
          <t>Tm26</t>
        </is>
      </c>
      <c r="D1079" t="inlineStr">
        <is>
          <t>Transmedullary wide-field neuron that terminates in lobula layer 5 with both fine and bleb-type arborizations. It displays fine arborizations in medulla layers M2, M3, M4, M5, M6, the serpentine layer, M8 and M9, and has bleb-type arborizations in layer M8 (Morante and Desplan, 2008; Fischbach and Dittrich, 1989).</t>
        </is>
      </c>
      <c r="E1079" t="inlineStr">
        <is>
          <t>Fischbach and Dittrich, 1989, Cell Tissue Res. 258(3): 441--475 (flybase.org/reports/FBrf0049410); Morante and Desplan, 2008, Curr. Biol. 18(8): 553--565 (flybase.org/reports/FBrf0204652)</t>
        </is>
      </c>
      <c r="F1079" t="inlineStr"/>
      <c r="G1079" t="inlineStr"/>
      <c r="H1079" t="inlineStr"/>
    </row>
    <row r="1080">
      <c r="A1080">
        <f>HYPERLINK("https://www.ebi.ac.uk/ols/ontologies/fbbt/terms?iri=http://purl.obolibrary.org/obo/FBbt_00003825","FBbt:00003825")</f>
        <v/>
      </c>
      <c r="B1080" t="inlineStr">
        <is>
          <t>transmedullary Y neuron TmY7</t>
        </is>
      </c>
      <c r="C1080" t="inlineStr">
        <is>
          <t>TmY7</t>
        </is>
      </c>
      <c r="D1080" t="inlineStr">
        <is>
          <t>Transmedullary Y neuron that terminates with both fine and bleb-type arborizations in lobula layer 5, and in lobula plate layer 4, but only with fine arborizations in lobula layer 4 and lobula plate layer 3. It displays fine arborizations in medulla layers M1, M3, M8, and M9.</t>
        </is>
      </c>
      <c r="E1080" t="inlineStr">
        <is>
          <t>Fischbach and Dittrich, 1989, Cell Tissue Res. 258(3): 441--475 (flybase.org/reports/FBrf0049410)</t>
        </is>
      </c>
      <c r="F1080" t="inlineStr"/>
      <c r="G1080" t="inlineStr"/>
      <c r="H1080" t="inlineStr"/>
    </row>
    <row r="1081">
      <c r="A1081">
        <f>HYPERLINK("https://www.ebi.ac.uk/ols/ontologies/fbbt/terms?iri=http://purl.obolibrary.org/obo/FBbt_00003826","FBbt:00003826")</f>
        <v/>
      </c>
      <c r="B1081" t="inlineStr">
        <is>
          <t>transmedullary Y neuron TmY8</t>
        </is>
      </c>
      <c r="C1081" t="inlineStr">
        <is>
          <t>TmY8</t>
        </is>
      </c>
      <c r="D1081" t="inlineStr">
        <is>
          <t>Transmedullary Y wide-field neuron that terminates with bleb-type arborizations in lobula layers 4 and 5, and in lobula plate layers 1 and 3. It displays bleb-type arborizations in medulla layers M6 and M10, and has fine arborizations in medulla layers M1, M2, M4, M5 and M6 (Morante and Desplan, 2008; Fischbach and Dittrich, 1989).</t>
        </is>
      </c>
      <c r="E1081" t="inlineStr">
        <is>
          <t>Fischbach and Dittrich, 1989, Cell Tissue Res. 258(3): 441--475 (flybase.org/reports/FBrf0049410); Morante and Desplan, 2008, Curr. Biol. 18(8): 553--565 (flybase.org/reports/FBrf0204652)</t>
        </is>
      </c>
      <c r="F1081" t="inlineStr"/>
      <c r="G1081" t="inlineStr"/>
      <c r="H1081" t="inlineStr"/>
    </row>
    <row r="1082">
      <c r="A1082">
        <f>HYPERLINK("https://www.ebi.ac.uk/ols/ontologies/fbbt/terms?iri=http://purl.obolibrary.org/obo/FBbt_00003812","FBbt:00003812")</f>
        <v/>
      </c>
      <c r="B1082" t="inlineStr">
        <is>
          <t>transmedullary neuron Tm24</t>
        </is>
      </c>
      <c r="C1082" t="inlineStr">
        <is>
          <t>Tm24</t>
        </is>
      </c>
      <c r="D1082" t="inlineStr">
        <is>
          <t>Transmedullary wide-field neuron that terminates in lobula layers 4, 5 and 6 with both fine and bleb-type arborizations. It does not show any arborizations in the medulla (Morante and Desplan, 2008; Fischbach and Dittrich, 1989). It is a cholinergic neuron (Varija Raghu et al., 2011).</t>
        </is>
      </c>
      <c r="E1082" t="inlineStr">
        <is>
          <t>Fischbach and Dittrich, 1989, Cell Tissue Res. 258(3): 441--475 (flybase.org/reports/FBrf0049410); Morante and Desplan, 2008, Curr. Biol. 18(8): 553--565 (flybase.org/reports/FBrf0204652); Varija Raghu et al., 2011, J. Comp. Neurol. 519(1): 162--176 (flybase.org/reports/FBrf0212356)</t>
        </is>
      </c>
      <c r="F1082" t="inlineStr"/>
      <c r="G1082" t="inlineStr"/>
      <c r="H1082" t="inlineStr"/>
    </row>
    <row r="1083">
      <c r="A1083">
        <f>HYPERLINK("https://www.ebi.ac.uk/ols/ontologies/fbbt/terms?iri=http://purl.obolibrary.org/obo/FBbt_00003796","FBbt:00003796")</f>
        <v/>
      </c>
      <c r="B1083" t="inlineStr">
        <is>
          <t>transmedullary neuron Tm8</t>
        </is>
      </c>
      <c r="C1083" t="inlineStr">
        <is>
          <t>Tm8</t>
        </is>
      </c>
      <c r="D1083" t="inlineStr">
        <is>
          <t>Transmedullary wide-field neuron that terminates in lobula layers 5 and 6 with bleb-type arborizations. It displays fine arborizations in medulla layers M4, M6, M8 and M9, and has bleb-type arborizations in layers M4 and M8 (Morante and Desplan, 2008; Fischbach and Dittrich, 1989). It is a cholinergic neuron (Varija Raghu et al., 2011).</t>
        </is>
      </c>
      <c r="E1083" t="inlineStr">
        <is>
          <t>Fischbach and Dittrich, 1989, Cell Tissue Res. 258(3): 441--475 (flybase.org/reports/FBrf0049410); Morante and Desplan, 2008, Curr. Biol. 18(8): 553--565 (flybase.org/reports/FBrf0204652); Varija Raghu et al., 2011, J. Comp. Neurol. 519(1): 162--176 (flybase.org/reports/FBrf0212356)</t>
        </is>
      </c>
      <c r="F1083" t="inlineStr"/>
      <c r="G1083" t="inlineStr"/>
      <c r="H1083" t="inlineStr"/>
    </row>
    <row r="1084">
      <c r="A1084">
        <f>HYPERLINK("https://www.ebi.ac.uk/ols/ontologies/fbbt/terms?iri=http://purl.obolibrary.org/obo/FBbt_00003795","FBbt:00003795")</f>
        <v/>
      </c>
      <c r="B1084" t="inlineStr">
        <is>
          <t>transmedullary neuron Tm7</t>
        </is>
      </c>
      <c r="C1084" t="inlineStr">
        <is>
          <t>Tm7</t>
        </is>
      </c>
      <c r="D1084" t="inlineStr">
        <is>
          <t>Transmedullary wide-field neuron that terminates in lobula layer 5 with both fine and bleb-type arborizations. It has fine arborizations in medulla layers M3, M4, M6 and M8, and bleb-type arborizations in layer M6 (Fischbach and Dittrich, 1989; Morante and Desplan, 2008). It is a cholinergic neuron (Varija Raghu et al., 2011).</t>
        </is>
      </c>
      <c r="E1084" t="inlineStr">
        <is>
          <t>Fischbach and Dittrich, 1989, Cell Tissue Res. 258(3): 441--475 (flybase.org/reports/FBrf0049410); Morante and Desplan, 2008, Curr. Biol. 18(8): 553--565 (flybase.org/reports/FBrf0204652); Varija Raghu et al., 2011, J. Comp. Neurol. 519(1): 162--176 (flybase.org/reports/FBrf0212356)</t>
        </is>
      </c>
      <c r="F1084" t="inlineStr"/>
      <c r="G1084" t="inlineStr"/>
      <c r="H1084" t="inlineStr"/>
    </row>
    <row r="1085">
      <c r="A1085">
        <f>HYPERLINK("https://www.ebi.ac.uk/ols/ontologies/fbbt/terms?iri=http://purl.obolibrary.org/obo/FBbt_00003729","FBbt:00003729")</f>
        <v/>
      </c>
      <c r="B1085" t="inlineStr">
        <is>
          <t>T neuron T2a</t>
        </is>
      </c>
      <c r="C1085" t="inlineStr">
        <is>
          <t>T2a</t>
        </is>
      </c>
      <c r="D1085" t="inlineStr">
        <is>
          <t>T neuron whose soma sits in the cortex adjacent to the gap between the medulla and lobula plate. Its cell body fibers project through this gap before branching in the second optic chiasm. One branch projects into a medulla column, where it forms a bushy, fine, arborization in medulla layer M9 and then projects through the rest of the medulla column, bifurcating in medulla layer M5 and forming fine arbors throughout layers M1-4. The other branch forms a terminal arborization in lobula layer 3 that is much wider than a single column and has bleb-type terminal branches. It receives input from the medullary intrinsic neuron Mi1 and transmedullary neuron Tm3a (Takemura et al., 2013).</t>
        </is>
      </c>
      <c r="E1085" t="inlineStr">
        <is>
          <t>Fischbach and Dittrich, 1989, Cell Tissue Res. 258(3): 441--475 (flybase.org/reports/FBrf0049410); Takemura et al., 2013, Nature 500(7461): 175--181 (flybase.org/reports/FBrf0222324)</t>
        </is>
      </c>
      <c r="F1085" t="inlineStr"/>
      <c r="G1085" t="inlineStr"/>
      <c r="H1085" t="inlineStr"/>
    </row>
    <row r="1086">
      <c r="A1086">
        <f>HYPERLINK("https://www.ebi.ac.uk/ols/ontologies/fbbt/terms?iri=http://purl.obolibrary.org/obo/FBbt_00003792","FBbt:00003792")</f>
        <v/>
      </c>
      <c r="B1086" t="inlineStr">
        <is>
          <t>transmedullary neuron Tm4</t>
        </is>
      </c>
      <c r="C1086" t="inlineStr">
        <is>
          <t>Tm4</t>
        </is>
      </c>
      <c r="D1086" t="inlineStr">
        <is>
          <t>Transmedullary narrow field neuron that terminates in lobula layers 1, 2 and 4 with bleb-type arborizations, and with fine arborizations in layer 3. It displays fine arborizations in medulla layers M2, M3, M4 and M9, and has bleb-type arborizations in layers M2, M4, and M9 (Morante and Desplan, 2008; Fischbach and Dittrich, 1989). It receives input from lamina monopolar neuron L2 and centrifugal neuron C3 (Takemura et al., 2013) and outputs to transmedullary Y neuron TmY5a (Takemura et al., 2013). In lobula layer 1, it outputs to T neuron T5 (Shinomiya et al., 2014). It seems to be capable of both cholinergic and GABAergic neurotransmission.</t>
        </is>
      </c>
      <c r="E1086" t="inlineStr">
        <is>
          <t>Fischbach and Dittrich, 1989, Cell Tissue Res. 258(3): 441--475 (flybase.org/reports/FBrf0049410); Morante and Desplan, 2008, Curr. Biol. 18(8): 553--565 (flybase.org/reports/FBrf0204652); Varija Raghu et al., 2011, J. Comp. Neurol. 519(1): 162--176 (flybase.org/reports/FBrf0212356); Raghu et al., 2013, J. Comp. Neurol. 521(1): 252--265 (flybase.org/reports/FBrf0220286); Takemura et al., 2013, Nature 500(7461): 175--181 (flybase.org/reports/FBrf0222324); Shinomiya et al., 2014, Curr. Biol. 24(10): 1062--1070 (flybase.org/reports/FBrf0225094)</t>
        </is>
      </c>
      <c r="F1086" t="inlineStr"/>
      <c r="G1086" t="inlineStr"/>
      <c r="H1086" t="inlineStr"/>
    </row>
    <row r="1087">
      <c r="A1087">
        <f>HYPERLINK("https://www.ebi.ac.uk/ols/ontologies/fbbt/terms?iri=http://purl.obolibrary.org/obo/FBbt_00003791","FBbt:00003791")</f>
        <v/>
      </c>
      <c r="B1087" t="inlineStr">
        <is>
          <t>transmedullary neuron Tm3a</t>
        </is>
      </c>
      <c r="C1087" t="inlineStr">
        <is>
          <t>Tm3a; Tm3; transmedullary neuron Tm3</t>
        </is>
      </c>
      <c r="D1087" t="inlineStr">
        <is>
          <t>Transmedullary narrow field neuron that terminates in lobula layers 1 and 4 with bleb-like terminal arborizations. It has fine arborizations in medulla layers M1, M4, and M5, and has bleb-type arborization in medulla layers M1, M4, M9 and M10 (Morante and Desplan, 2008; Fischbach and Dittrich, 1989). It receives input from lamina monopolar neuron L1 and L5 and medullary intrinsic neuron Mi1. It outputs to T neuron T4 (Takemura et al., 2013). It seems to be capable of both cholinergic (Pankova &amp; Borst, 2017) and GABAergic neurotransmission.</t>
        </is>
      </c>
      <c r="E1087" t="inlineStr">
        <is>
          <t>Fischbach and Dittrich, 1989, Cell Tissue Res. 258(3): 441--475 (flybase.org/reports/FBrf0049410); Morante and Desplan, 2008, Curr. Biol. 18(8): 553--565 (flybase.org/reports/FBrf0204652); Hasegawa et al., 2011, Development 138(5): 983--993 (flybase.org/reports/FBrf0213020); Raghu et al., 2013, J. Comp. Neurol. 521(1): 252--265 (flybase.org/reports/FBrf0220286); Takemura et al., 2013, Nature 500(7461): 175--181 (flybase.org/reports/FBrf0222324); Pankova and Borst, 2017, J. Exp. Biol. 220(8): 1405--1410 (flybase.org/reports/FBrf0235353)</t>
        </is>
      </c>
      <c r="F1087" t="inlineStr"/>
      <c r="G1087" t="inlineStr"/>
      <c r="H1087" t="inlineStr"/>
    </row>
    <row r="1088">
      <c r="A1088">
        <f>HYPERLINK("https://www.ebi.ac.uk/ols/ontologies/fbbt/terms?iri=http://purl.obolibrary.org/obo/FBbt_00003790","FBbt:00003790")</f>
        <v/>
      </c>
      <c r="B1088" t="inlineStr">
        <is>
          <t>transmedullary neuron Tm2</t>
        </is>
      </c>
      <c r="C1088" t="inlineStr">
        <is>
          <t>Tm2</t>
        </is>
      </c>
      <c r="D1088" t="inlineStr">
        <is>
          <t>Transmedullary narrow field neuron that terminates with bleb-type terminal arborizations in lobula layers 1 and 2. It displays fine arborizations in medulla layer M1 and M2, and has bleb-like arborizations in layers M3, M4 and M9 (Fischbach and Dittrich, 1989; Takemura et al., 2011). In M2 it receives synaptic input from lamina monopolar cell L2 and in M4-M5 from L4. Each Tm2 neuron forms 3 connections with L4: one from the L4 in the parent column and two from L4 cells in two posterior columns (Takemura et al., 2011). In the medulla it outputs to lamina monopolar neuron L5 and T neuron T2 (Takemura et al., 2013). In lobula layer 1, it outputs to T neuron T5 (Shinomiya et al., 2014). It is a cholinergic neuron (Varija Raghu et al., 2011; Gao et al., 2008; Takemura et al., 2011).</t>
        </is>
      </c>
      <c r="E1088" t="inlineStr">
        <is>
          <t>Fischbach and Dittrich, 1989, Cell Tissue Res. 258(3): 441--475 (flybase.org/reports/FBrf0049410); Morante and Desplan, 2008, Curr. Biol. 18(8): 553--565 (flybase.org/reports/FBrf0204652); Gao et al., 2008, Neuron 60(2): 328--342 (flybase.org/reports/FBrf0206213); Varija Raghu et al., 2011, J. Comp. Neurol. 519(1): 162--176 (flybase.org/reports/FBrf0212356); Takemura et al., 2011, Curr. Biol. 21(24): 2077--2084 (flybase.org/reports/FBrf0217052); Takemura et al., 2013, Nature 500(7461): 175--181 (flybase.org/reports/FBrf0222324); Shinomiya et al., 2014, Curr. Biol. 24(10): 1062--1070 (flybase.org/reports/FBrf0225094)</t>
        </is>
      </c>
      <c r="F1088" t="inlineStr"/>
      <c r="G1088" t="inlineStr"/>
      <c r="H1088" t="inlineStr"/>
    </row>
    <row r="1089">
      <c r="A1089">
        <f>HYPERLINK("https://www.ebi.ac.uk/ols/ontologies/fbbt/terms?iri=http://purl.obolibrary.org/obo/FBbt_00003799","FBbt:00003799")</f>
        <v/>
      </c>
      <c r="B1089" t="inlineStr">
        <is>
          <t>transmedullary neuron Tm11</t>
        </is>
      </c>
      <c r="C1089" t="inlineStr">
        <is>
          <t>Tm11</t>
        </is>
      </c>
      <c r="D1089" t="inlineStr">
        <is>
          <t>Transmedullary wide-field neuron that terminates in lobula layer 5 with both fine and bleb-type arborizations. It displays fine arborizations in medulla layers M6, M8 and M9, and has bleb-type arborizations in layers M6 and M8 (Morante and Desplan, 2008; Fischbach and Dittrich, 1989). It is a cholinergic neuron (Varija Raghu et al., 2011).</t>
        </is>
      </c>
      <c r="E1089" t="inlineStr">
        <is>
          <t>Fischbach and Dittrich, 1989, Cell Tissue Res. 258(3): 441--475 (flybase.org/reports/FBrf0049410); Morante and Desplan, 2008, Curr. Biol. 18(8): 553--565 (flybase.org/reports/FBrf0204652); Varija Raghu et al., 2011, J. Comp. Neurol. 519(1): 162--176 (flybase.org/reports/FBrf0212356)</t>
        </is>
      </c>
      <c r="F1089" t="inlineStr"/>
      <c r="G1089" t="inlineStr"/>
      <c r="H1089" t="inlineStr"/>
    </row>
    <row r="1090">
      <c r="A1090">
        <f>HYPERLINK("https://www.ebi.ac.uk/ols/ontologies/fbbt/terms?iri=http://purl.obolibrary.org/obo/FBbt_00003797","FBbt:00003797")</f>
        <v/>
      </c>
      <c r="B1090" t="inlineStr">
        <is>
          <t>transmedullary neuron Tm9</t>
        </is>
      </c>
      <c r="C1090" t="inlineStr">
        <is>
          <t>Tm9</t>
        </is>
      </c>
      <c r="D1090" t="inlineStr">
        <is>
          <t>Transmedullary narrow field neuron that terminates in lobula layer 1 with bleb-type arborizations. It displays fine arborizations in medulla layers M2 and M3, and has bleb-type arborizations in layers M3 and M4. It receives synaptic contacts from photoreceptor cell R8, laminar cell L3 and Dm8a (in M4) (Gao et al., 2008). In lobula layer 1, it outputs to T neuron T5 (Shinomiya et al., 2014). It is a a cholinergic neuron (Gao et al., 2008; Shinomiya et al., 2014).</t>
        </is>
      </c>
      <c r="E1090" t="inlineStr">
        <is>
          <t>Fischbach and Dittrich, 1989, Cell Tissue Res. 258(3): 441--475 (flybase.org/reports/FBrf0049410); Morante and Desplan, 2008, Curr. Biol. 18(8): 553--565 (flybase.org/reports/FBrf0204652); Gao et al., 2008, Neuron 60(2): 328--342 (flybase.org/reports/FBrf0206213); Shinomiya et al., 2014, Curr. Biol. 24(10): 1062--1070 (flybase.org/reports/FBrf0225094)</t>
        </is>
      </c>
      <c r="F1090" t="inlineStr"/>
      <c r="G1090" t="inlineStr"/>
      <c r="H1090" t="inlineStr"/>
    </row>
    <row r="1091">
      <c r="A1091">
        <f>HYPERLINK("https://www.ebi.ac.uk/ols/ontologies/fbbt/terms?iri=http://purl.obolibrary.org/obo/FBbt_00048246","FBbt:00048246")</f>
        <v/>
      </c>
      <c r="B1091" t="inlineStr">
        <is>
          <t>transmedullary Y neuron TmY15</t>
        </is>
      </c>
      <c r="C1091" t="inlineStr">
        <is>
          <t>None</t>
        </is>
      </c>
      <c r="D1091" t="inlineStr">
        <is>
          <t>Transmedullary Y neuron that arborizes in multiple layers of the medulla. In layer M10, it spans more than 10 columns and its branches do not show obvious columnar subdivisions. It receives synaptic input from T4 neurons. It also arborizes in the lobula and lobula plate. It is GABAergic</t>
        </is>
      </c>
      <c r="E1091" t="inlineStr">
        <is>
          <t>Takemura et al., 2017, eLife 6: e24394 (flybase.org/reports/FBrf0235606)</t>
        </is>
      </c>
      <c r="F1091" t="inlineStr"/>
      <c r="G1091" t="inlineStr"/>
      <c r="H1091" t="inlineStr"/>
    </row>
    <row r="1092">
      <c r="A1092">
        <f>HYPERLINK("https://www.ebi.ac.uk/ols/ontologies/fbbt/terms?iri=http://purl.obolibrary.org/obo/FBbt_00003789","FBbt:00003789")</f>
        <v/>
      </c>
      <c r="B1092" t="inlineStr">
        <is>
          <t>transmedullary neuron Tm1</t>
        </is>
      </c>
      <c r="C1092" t="inlineStr">
        <is>
          <t>Tm1</t>
        </is>
      </c>
      <c r="D1092" t="inlineStr">
        <is>
          <t>Transmedullary narrow field neuron that terminates in lobula layer 1 with a bleb-type terminal arborization and that has fine arborizations in medulla layer M2 and bleb-type arborizations in M3 and M9 (Fischbach and Dittrich, 1989; Takemura et al., 2011). In M2, it receives synaptic input from lamina monopolar neuron L2 and centrifugal neuron C3 (Takemura et al., 2011, 2013). It outputs to lamina monopolar neuron L5 (Takemura et al., 2013), and in lobula layer 1 to T neuron T5 (Shinomiya et al., 2014). It is a cholinergic neuron (Varija Raghu et al., 2011; Shinomiya et al., 2014).</t>
        </is>
      </c>
      <c r="E1092" t="inlineStr">
        <is>
          <t>Fischbach and Dittrich, 1989, Cell Tissue Res. 258(3): 441--475 (flybase.org/reports/FBrf0049410); Morante and Desplan, 2008, Curr. Biol. 18(8): 553--565 (flybase.org/reports/FBrf0204652); Varija Raghu et al., 2011, J. Comp. Neurol. 519(1): 162--176 (flybase.org/reports/FBrf0212356); Takemura et al., 2011, Curr. Biol. 21(24): 2077--2084 (flybase.org/reports/FBrf0217052); Takemura et al., 2013, Nature 500(7461): 175--181 (flybase.org/reports/FBrf0222324); Shinomiya et al., 2014, Curr. Biol. 24(10): 1062--1070 (flybase.org/reports/FBrf0225094)</t>
        </is>
      </c>
      <c r="F1092" t="inlineStr"/>
      <c r="G1092" t="inlineStr"/>
      <c r="H1092" t="inlineStr"/>
    </row>
  </sheetData>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2019-08-09T09:59:54Z</dcterms:created>
  <dcterms:modified xsi:type="dcterms:W3CDTF">2019-08-09T09:59:54Z</dcterms:modified>
</cp:coreProperties>
</file>