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3"/>
  <workbookPr/>
  <mc:AlternateContent xmlns:mc="http://schemas.openxmlformats.org/markup-compatibility/2006">
    <mc:Choice Requires="x15">
      <x15ac:absPath xmlns:x15ac="http://schemas.microsoft.com/office/spreadsheetml/2010/11/ac" url="/Users/cp390/git/drosophila-anatomy-developmental-ontology/cell_type_reports/"/>
    </mc:Choice>
  </mc:AlternateContent>
  <xr:revisionPtr revIDLastSave="0" documentId="13_ncr:1_{DB6E084B-6027-0E42-A345-7E635E4089E4}" xr6:coauthVersionLast="45" xr6:coauthVersionMax="45" xr10:uidLastSave="{00000000-0000-0000-0000-000000000000}"/>
  <bookViews>
    <workbookView xWindow="0" yWindow="460" windowWidth="51200" windowHeight="2994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306" i="1" l="1"/>
  <c r="A305" i="1"/>
  <c r="A304" i="1"/>
  <c r="A303" i="1"/>
  <c r="A302" i="1"/>
  <c r="A301" i="1"/>
  <c r="A300" i="1"/>
  <c r="A299" i="1"/>
  <c r="A298" i="1"/>
  <c r="A297" i="1"/>
  <c r="A296" i="1"/>
  <c r="A295" i="1"/>
  <c r="A294" i="1"/>
  <c r="A293" i="1"/>
  <c r="A292" i="1"/>
  <c r="A291" i="1"/>
  <c r="A290" i="1"/>
  <c r="A289" i="1"/>
  <c r="A288" i="1"/>
  <c r="A287" i="1"/>
  <c r="A286" i="1"/>
  <c r="A285" i="1"/>
  <c r="A284" i="1"/>
  <c r="A283" i="1"/>
  <c r="A282" i="1"/>
  <c r="A281" i="1"/>
  <c r="A280" i="1"/>
  <c r="A279" i="1"/>
  <c r="A278" i="1"/>
  <c r="A277" i="1"/>
  <c r="A276" i="1"/>
  <c r="A275" i="1"/>
  <c r="A274" i="1"/>
  <c r="A273" i="1"/>
  <c r="A272" i="1"/>
  <c r="A271" i="1"/>
  <c r="A270" i="1"/>
  <c r="A269" i="1"/>
  <c r="A268" i="1"/>
  <c r="A267" i="1"/>
  <c r="A266" i="1"/>
  <c r="A265" i="1"/>
  <c r="A264" i="1"/>
  <c r="A263" i="1"/>
  <c r="A262" i="1"/>
  <c r="A261" i="1"/>
  <c r="A260" i="1"/>
  <c r="A259" i="1"/>
  <c r="A258" i="1"/>
  <c r="A257" i="1"/>
  <c r="A256" i="1"/>
  <c r="A255" i="1"/>
  <c r="A254" i="1"/>
  <c r="A253" i="1"/>
  <c r="A252" i="1"/>
  <c r="A251" i="1"/>
  <c r="A250" i="1"/>
  <c r="A249" i="1"/>
  <c r="A248" i="1"/>
  <c r="A247" i="1"/>
  <c r="A246" i="1"/>
  <c r="A245" i="1"/>
  <c r="A244" i="1"/>
  <c r="A243" i="1"/>
  <c r="A242" i="1"/>
  <c r="A241" i="1"/>
  <c r="A240" i="1"/>
  <c r="A239" i="1"/>
  <c r="A238" i="1"/>
  <c r="A237" i="1"/>
  <c r="A236" i="1"/>
  <c r="A235" i="1"/>
  <c r="A234" i="1"/>
  <c r="A233" i="1"/>
  <c r="A232" i="1"/>
  <c r="A231" i="1"/>
  <c r="A230" i="1"/>
  <c r="A229" i="1"/>
  <c r="A228" i="1"/>
  <c r="A227" i="1"/>
  <c r="A226" i="1"/>
  <c r="A225" i="1"/>
  <c r="A224" i="1"/>
  <c r="A223" i="1"/>
  <c r="A222" i="1"/>
  <c r="A221" i="1"/>
  <c r="A220" i="1"/>
  <c r="A219" i="1"/>
  <c r="A218" i="1"/>
  <c r="A217" i="1"/>
  <c r="A216" i="1"/>
  <c r="A215" i="1"/>
  <c r="A214" i="1"/>
  <c r="A213" i="1"/>
  <c r="A212" i="1"/>
  <c r="A211" i="1"/>
  <c r="A210" i="1"/>
  <c r="A209" i="1"/>
  <c r="A208" i="1"/>
  <c r="A207" i="1"/>
  <c r="A206" i="1"/>
  <c r="A205" i="1"/>
  <c r="A204" i="1"/>
  <c r="A203" i="1"/>
  <c r="A202" i="1"/>
  <c r="A201" i="1"/>
  <c r="A200" i="1"/>
  <c r="A199" i="1"/>
  <c r="A198" i="1"/>
  <c r="A197" i="1"/>
  <c r="A196" i="1"/>
  <c r="A195" i="1"/>
  <c r="A194" i="1"/>
  <c r="A193" i="1"/>
  <c r="A192" i="1"/>
  <c r="A191" i="1"/>
  <c r="A190" i="1"/>
  <c r="A189" i="1"/>
  <c r="A188" i="1"/>
  <c r="A187" i="1"/>
  <c r="A186" i="1"/>
  <c r="A185" i="1"/>
  <c r="A184" i="1"/>
  <c r="A183" i="1"/>
  <c r="A182" i="1"/>
  <c r="A181" i="1"/>
  <c r="A180" i="1"/>
  <c r="A179" i="1"/>
  <c r="A178" i="1"/>
  <c r="A177" i="1"/>
  <c r="A176" i="1"/>
  <c r="A175" i="1"/>
  <c r="A174" i="1"/>
  <c r="A173" i="1"/>
  <c r="A172" i="1"/>
  <c r="A171" i="1"/>
  <c r="A170" i="1"/>
  <c r="A169" i="1"/>
  <c r="A168" i="1"/>
  <c r="A167" i="1"/>
  <c r="A166" i="1"/>
  <c r="A165" i="1"/>
  <c r="A164" i="1"/>
  <c r="A163" i="1"/>
  <c r="A162" i="1"/>
  <c r="A161" i="1"/>
  <c r="A160" i="1"/>
  <c r="A159" i="1"/>
  <c r="A158" i="1"/>
  <c r="A157" i="1"/>
  <c r="A156" i="1"/>
  <c r="A155" i="1"/>
  <c r="A154" i="1"/>
  <c r="A153" i="1"/>
  <c r="A152" i="1"/>
  <c r="A151" i="1"/>
  <c r="A150" i="1"/>
  <c r="A149" i="1"/>
  <c r="A148" i="1"/>
  <c r="A147" i="1"/>
  <c r="A146" i="1"/>
  <c r="A145" i="1"/>
  <c r="A144" i="1"/>
  <c r="A143" i="1"/>
  <c r="A142" i="1"/>
  <c r="A141" i="1"/>
  <c r="A140" i="1"/>
  <c r="A139" i="1"/>
  <c r="A138" i="1"/>
  <c r="A137" i="1"/>
  <c r="A136" i="1"/>
  <c r="A135" i="1"/>
  <c r="A134" i="1"/>
  <c r="A133" i="1"/>
  <c r="A132" i="1"/>
  <c r="A131" i="1"/>
  <c r="A130" i="1"/>
  <c r="A129" i="1"/>
  <c r="A128" i="1"/>
  <c r="A127" i="1"/>
  <c r="A126" i="1"/>
  <c r="A125" i="1"/>
  <c r="A124" i="1"/>
  <c r="A123" i="1"/>
  <c r="A122" i="1"/>
  <c r="A121" i="1"/>
  <c r="A120" i="1"/>
  <c r="A119" i="1"/>
  <c r="A118" i="1"/>
  <c r="A117" i="1"/>
  <c r="A116" i="1"/>
  <c r="A115" i="1"/>
  <c r="A114" i="1"/>
  <c r="A113" i="1"/>
  <c r="A112" i="1"/>
  <c r="A111" i="1"/>
  <c r="A110" i="1"/>
  <c r="A109" i="1"/>
  <c r="A108" i="1"/>
  <c r="A107" i="1"/>
  <c r="A106" i="1"/>
  <c r="A105" i="1"/>
  <c r="A104" i="1"/>
  <c r="A103" i="1"/>
  <c r="A102" i="1"/>
  <c r="A101" i="1"/>
  <c r="A100" i="1"/>
  <c r="A99" i="1"/>
  <c r="A98" i="1"/>
  <c r="A97" i="1"/>
  <c r="A96" i="1"/>
  <c r="A95" i="1"/>
  <c r="A94" i="1"/>
  <c r="A93" i="1"/>
  <c r="A92" i="1"/>
  <c r="A91" i="1"/>
  <c r="A90" i="1"/>
  <c r="A89" i="1"/>
  <c r="A88" i="1"/>
  <c r="A87" i="1"/>
  <c r="A86" i="1"/>
  <c r="A85" i="1"/>
  <c r="A84" i="1"/>
  <c r="A83" i="1"/>
  <c r="A82" i="1"/>
  <c r="A81" i="1"/>
  <c r="A80" i="1"/>
  <c r="A79" i="1"/>
  <c r="A78" i="1"/>
  <c r="A77" i="1"/>
  <c r="A76" i="1"/>
  <c r="A75" i="1"/>
  <c r="A74" i="1"/>
  <c r="A73" i="1"/>
  <c r="A72" i="1"/>
  <c r="A71" i="1"/>
  <c r="A70" i="1"/>
  <c r="A69" i="1"/>
  <c r="A68" i="1"/>
  <c r="A67" i="1"/>
  <c r="A66" i="1"/>
  <c r="A65" i="1"/>
  <c r="A64" i="1"/>
  <c r="A63" i="1"/>
  <c r="A62" i="1"/>
  <c r="A61" i="1"/>
  <c r="A60" i="1"/>
  <c r="A59" i="1"/>
  <c r="A58" i="1"/>
  <c r="A57" i="1"/>
  <c r="A56" i="1"/>
  <c r="A55" i="1"/>
  <c r="A54" i="1"/>
  <c r="A53" i="1"/>
  <c r="A52" i="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1" i="1"/>
  <c r="A20" i="1"/>
  <c r="A19" i="1"/>
  <c r="A18" i="1"/>
  <c r="A17" i="1"/>
  <c r="A16" i="1"/>
  <c r="A15" i="1"/>
  <c r="A14" i="1"/>
  <c r="A13" i="1"/>
  <c r="A12" i="1"/>
  <c r="A11" i="1"/>
  <c r="A10" i="1"/>
  <c r="A9" i="1"/>
  <c r="A8" i="1"/>
  <c r="A7" i="1"/>
  <c r="A6" i="1"/>
  <c r="A5" i="1"/>
  <c r="A4" i="1"/>
  <c r="A3" i="1"/>
  <c r="A2" i="1"/>
</calcChain>
</file>

<file path=xl/sharedStrings.xml><?xml version="1.0" encoding="utf-8"?>
<sst xmlns="http://schemas.openxmlformats.org/spreadsheetml/2006/main" count="1225" uniqueCount="928">
  <si>
    <t>FBbt_ID</t>
  </si>
  <si>
    <t>Name</t>
  </si>
  <si>
    <t>Synonyms</t>
  </si>
  <si>
    <t>Definition</t>
  </si>
  <si>
    <t>References</t>
  </si>
  <si>
    <t>Review_notes</t>
  </si>
  <si>
    <t>Suggested_markers</t>
  </si>
  <si>
    <t>Abundance</t>
  </si>
  <si>
    <t>None</t>
  </si>
  <si>
    <t>mechanosensory neuron of coxal hair plate</t>
  </si>
  <si>
    <t>Any mechanosensory neuron that has a dendrite in a hair plate of the coxa.</t>
  </si>
  <si>
    <t>Tuthill and Wilson, 2016, Cell 164(5): 1046--1059 (flybase.org/reports/FBrf0231054)</t>
  </si>
  <si>
    <t>mechanosensory neuron of leg sensillum campaniformium</t>
  </si>
  <si>
    <t>Lcs1N; leg campaniform sensillum primary neuron</t>
  </si>
  <si>
    <t>Mechanosensory neuron with a dendrite in a sensillum campaniformium of the leg. Its axon terminals are found in the middle of the leg neuropil, relatively dorsal compared to other sensory neurons (Tsubouchi et al., 2017).</t>
  </si>
  <si>
    <t>Tuthill and Wilson, 2016, Cell 164(5): 1046--1059 (flybase.org/reports/FBrf0231054); Tsubouchi et al., 2017, Science 358(6363): 615--623 (flybase.org/reports/FBrf0237124)</t>
  </si>
  <si>
    <t>mechanosensory neuron of prothoracic hair plate</t>
  </si>
  <si>
    <t>Any mechanosensory neuron that has a dendrite in a hair plate of the prothoracic leg.</t>
  </si>
  <si>
    <t>mechanosensory neuron of mesothoracic hair plate</t>
  </si>
  <si>
    <t>Any mechanosensory neuron that has a dendrite in a hair plate of the mesothoracic leg.</t>
  </si>
  <si>
    <t>mechanosensory neuron of metathoracic hair plate</t>
  </si>
  <si>
    <t>Any mechanosensory neuron that has a dendrite in a hair plate of the metathoracic leg.</t>
  </si>
  <si>
    <t>adult sex peptide sensory neuron</t>
  </si>
  <si>
    <t>SP-sensing neuron; sex-peptide neuron; SPSN; SP sensing neuron</t>
  </si>
  <si>
    <t>Sensory neuron located in the female abdominal ganglion that responds to sex peptide. These neurons are located along the reproductive tract, with one on each lateral oviduct and 3 on either side of the uterus. They project fine processes between the muscle and epithelial cell layer and the lumen of the uterus. An additional branch bifurcates close to the soma and innervates the lower region of the common oviduct.</t>
  </si>
  <si>
    <t>Yang et al., 2009, Neuron 61(4): 519--526 (flybase.org/reports/FBrf0207501); Häsemeyer et al., 2009, Neuron 61(4): 511--518 (flybase.org/reports/FBrf0207523); Feng et al., 2014, Neuron 83(1): 135--148 (flybase.org/reports/FBrf0225544)</t>
  </si>
  <si>
    <t>mechanosensory neuron of trochanter hair plate</t>
  </si>
  <si>
    <t>Any mechanosensory neuron that has a dendrite in a hair plate of the trochanter.</t>
  </si>
  <si>
    <t>leg mechanosensory bristle mechanosensory neuron</t>
  </si>
  <si>
    <t>leg bristle mechanosensory neuron; Les1N; leg external sensillum primary neuron</t>
  </si>
  <si>
    <t>Mechanosensory neuron that has a dendrite in a mechanosensory bristle of the leg.</t>
  </si>
  <si>
    <t>adult sensory neuron VA7m</t>
  </si>
  <si>
    <t>adult ORN VA7m; adult olfactory receptor neuron VA7m; odorant receptor neuron VA7m</t>
  </si>
  <si>
    <t>Adult sensory neuron (ORN) that innervates antennal lobe glomerulus VA7m.</t>
  </si>
  <si>
    <t>Endo et al., 2007, Nat. Neurosci. 10(2): 153--160 (flybase.org/reports/FBrf0192533); Grabe et al., 2016, Cell Rep. 16(12): 3401--3413 (flybase.org/reports/FBrf0233453)</t>
  </si>
  <si>
    <t>mechanosensory neuron of dorsal row bristle</t>
  </si>
  <si>
    <t>Mechanosensory neuron innervating a dorsal row bristle of the cibarium in the adult pharynx.</t>
  </si>
  <si>
    <t>Nayak and Singh, 1983, Int. J. Insect Morph. Embryol. 12(5--6): 273--291 (flybase.org/reports/FBrf0074012); Gendre et al., 2004, Development 131(1): 83--92 (flybase.org/reports/FBrf0167539)</t>
  </si>
  <si>
    <t>sensory neuron of wing sensillum campaniformium</t>
  </si>
  <si>
    <t>wing campaniform sensillum primary neuron; Wcs1N</t>
  </si>
  <si>
    <t>Neuron that has a dendrite in a campaniform sensillum of the wing. They are located on the dorsal and ventral surfaces of the wing base and they respond to mechanical stimuli. Their presynaptic terminals are found in the middle and dorsolateral parts of the wing neuropil and some of these neurons also ascend to the dorsal gnathal ganglion (Tsubouchi et al., 2017).</t>
  </si>
  <si>
    <t>Tsubouchi et al., 2017, Science 358(6363): 615--623 (flybase.org/reports/FBrf0237124)</t>
  </si>
  <si>
    <t>mechanosensory neuron of Wheeler's organ</t>
  </si>
  <si>
    <t>abdominal chordotonal neuron; abdominal chordotonal organ primary neuron; Aco1N</t>
  </si>
  <si>
    <t>Mechanosensory neuron that innervates a scolopidium of Wheeler's organ. These neurons project directly to the prothoracic neuromere and converge with the axon terminals of the leg chordotonal organ neurons in the leg neuropil (Tsubouchi et al., 2017).</t>
  </si>
  <si>
    <t>chemosensory neuron of dorsal triple row bristle</t>
  </si>
  <si>
    <t>dorsal triple row bristle chemosensory neuron</t>
  </si>
  <si>
    <t>Chemosensory neuron innervating a dorsal triple row chemosensory bristle.</t>
  </si>
  <si>
    <t>Palka et al., 1979, Dev. Biol. 69: 549--575 (flybase.org/reports/FBrf0032909); Hartenstein and Posakony, 1989, Development 107(2): 389--405 (flybase.org/reports/FBrf0049554)</t>
  </si>
  <si>
    <t>mechanosensory neuron of ventral row bristle</t>
  </si>
  <si>
    <t>Mechanosensory neuron innervating a ventral row bristle of the cibarium in the adult pharynx.</t>
  </si>
  <si>
    <t>LN Pdf neuron</t>
  </si>
  <si>
    <t>PDH neuron; PDFMe; pigment-dispersing hormone-immunoreactive neuron close to medulla</t>
  </si>
  <si>
    <t>Lateral period-expressing neuron (LN) of the adult brain that also expresses Pigment-dispersing factor (Helfrich-Forster, 1997). These neurons also express cryptochrome and Rhodopsin 7, which allow them to respond to high frequency (blue) visible light (Ni et al., 2017).</t>
  </si>
  <si>
    <t>Helfrich-Forster, 1997, J. Comp. Neurol. 380(3): 335--354 (flybase.org/reports/FBrf0093121); Ni et al., 2017, Nature 545(7654): 340--344 (flybase.org/reports/FBrf0235590)</t>
  </si>
  <si>
    <t>adult olfactory receptor neuron</t>
  </si>
  <si>
    <t>adult ORN; adult odorant receptor neuron</t>
  </si>
  <si>
    <t>Any olfactory receptor neuron (FBbt:00005926) that is part of some adult (FBbt:00003004).</t>
  </si>
  <si>
    <t>[]</t>
  </si>
  <si>
    <t>mechanosensory neuron of leg chordotonal organ</t>
  </si>
  <si>
    <t>leg chordotonal organ primary neuron; leg chordotonal neuron; Lco1N</t>
  </si>
  <si>
    <t>Mechanosensory neuron that innervates a scolopidium of a chordotonal organ in the leg. These neurons have axon terminals in a stratum of the leg neuropil that partially overlaps the terminals of campaniform sensillum neurons and is relatively dorsal compared to the terminals of other somatosensory neurons (Tsubouchi et al., 2017).</t>
  </si>
  <si>
    <t>wing bristle mechanosensory neuron</t>
  </si>
  <si>
    <t>wing external sensillum primary neuron; Wes1N</t>
  </si>
  <si>
    <t>Mechanosensory neuron that has a dendrite in a bristle of the wing. It has presynaptic terminals in the wing neuropil (Tsubouchi et al., 2017).</t>
  </si>
  <si>
    <t>gustatory receptor neuron of the wing</t>
  </si>
  <si>
    <t>Wgs1N; wing gustatory sensillum primary neuron</t>
  </si>
  <si>
    <t>Sensory neuron of the adult that innervates a curved chemosensory bristle on the anterior wing margin and expresses taste receptors (Amrein and Thorne 2005). It has presynaptic terminals in the wing neuropil (Tsubouchi et al., 2017).</t>
  </si>
  <si>
    <t>Amrein and Thorne, 2005, Curr. Biol. 15(17): R673--R684 (flybase.org/reports/FBrf0187293); Tsubouchi et al., 2017, Science 358(6363): 615--623 (flybase.org/reports/FBrf0237124)</t>
  </si>
  <si>
    <t>chemosensory neuron of dorsal double row bristle</t>
  </si>
  <si>
    <t>Chemosensory neuron that is part of a bristle of the dorsal double row.</t>
  </si>
  <si>
    <t>mechanosensory neuron of interommatidial bristle</t>
  </si>
  <si>
    <t>eye bristle mechanosensory neuron; interommatidial bristle mechanosensory neuron; mechanosensory neuron of eye bristle</t>
  </si>
  <si>
    <t>Mechanosensory neuron of the adult with a dendrite that innervates the interommatidial bristle and an axon that projects to the subesophageal zone.</t>
  </si>
  <si>
    <t>Hampel et al., 2017, eLife 6: e28804 (flybase.org/reports/FBrf0236775)</t>
  </si>
  <si>
    <t>adult olfactory receptor neuron Ir68a</t>
  </si>
  <si>
    <t>ionotropic receptor neuron Ir68a; ORN Ir68a</t>
  </si>
  <si>
    <t>Ipsilateral olfactory receptor neuron that expresses the Ionotropic receptor (Ir) 68a as well as Ir93a. It sends one dendrite into each of the sensilla housed in chamber II of the sacculus to detect humidity stimuli. This neuron synapses to antennal lobe projection neuron VP5 in the antennal lobe glomerulus VP5.</t>
  </si>
  <si>
    <t>Knecht et al., 2017, eLife 6: e26654 (flybase.org/reports/FBrf0235932); Frank et al., 2017, Curr. Biol. 27(15): 2381--2388.e4 (flybase.org/reports/FBrf0236232)</t>
  </si>
  <si>
    <t>twin sensillum of margin 1 neuron</t>
  </si>
  <si>
    <t>tsm(1) neuron; TSM(1)</t>
  </si>
  <si>
    <t>Neuron innervating the twin sensillum of margin 1. This neuron, which begins axonogenesis 1hr AP, pioneers the segment of nerve L1 which joins the L3 bundle (Murray et al., 1984).</t>
  </si>
  <si>
    <t>Murray et al., 1984, Dev. Biol. 104(2): 259--273 (flybase.org/reports/FBrf0040724)</t>
  </si>
  <si>
    <t>twin sensillum of margin 2 neuron</t>
  </si>
  <si>
    <t>tsm(2) neuron; TSM(2)</t>
  </si>
  <si>
    <t>Neuron innervating the twin sensillum of margin 2. This neuron begins axonogenesis at approximately 9-10 hours AP (Murray et al., 1984).</t>
  </si>
  <si>
    <t>gustatory receptor neuron of the adult pharynx</t>
  </si>
  <si>
    <t>Gustatory receptor neuron that innervates the adult pharynx and projects to the subesophageal zone.</t>
  </si>
  <si>
    <t>Nayak and Singh, 1983, Int. J. Insect Morph. Embryol. 12(5--6): 273--291 (flybase.org/reports/FBrf0074012); Gendre et al., 2004, Development 131(1): 83--92 (flybase.org/reports/FBrf0167539); Montell, 2009, Curr. Opin. Neurobiol. 19(4): 345--353 (flybase.org/reports/FBrf0208984); Miyazaki and Ito, 2010, J. Comp. Neurol. 518(20): 4147--4181 (flybase.org/reports/FBrf0211916)</t>
  </si>
  <si>
    <t>adult gustatory receptor neuron Gr68a (male)</t>
  </si>
  <si>
    <t>adult GRN Gr68a</t>
  </si>
  <si>
    <t>Male-specific gustatory receptor neuron that expresses Gr68a; around 10 of these are found in the foreleg. They detect female pheromones and are involved in male courtship behavior (Bray and Amrein, 2003; Ebbs and Amrein, 2007).</t>
  </si>
  <si>
    <t>Bray and Amrein, 2003, Neuron 39(6): 1019--1029 (flybase.org/reports/FBrf0162264); Ebbs and Amrein, 2007, Pflugers Arch. 454(5): 735--747 (flybase.org/reports/FBrf0202389)</t>
  </si>
  <si>
    <t>gustatory receptor neuron of the labellum</t>
  </si>
  <si>
    <t>Gustatory receptor neuron that innervates the adult labellum. It projects to distinct regions in the subesophageal zone, which include the anterior maxillary, posterior maxillary and labellar sensory centers, via specific terminal branches.</t>
  </si>
  <si>
    <t>Shanbhag et al., 2001, Cell Tissue Res. 304(3): 423--437 (flybase.org/reports/FBrf0137194); Hiroi et al., 2002, Zool. Sci., Tokyo 19(9): 1009--1018 (flybase.org/reports/FBrf0152351); Wang et al., 2004, Cell 117(7): 981--991 (flybase.org/reports/FBrf0179508); Miyazaki and Ito, 2010, J. Comp. Neurol. 518(20): 4147--4181 (flybase.org/reports/FBrf0211916); Weiss et al., 2011, Neuron 69(2): 258--272 (flybase.org/reports/FBrf0212834)</t>
  </si>
  <si>
    <t>adult sensory neuron VM6</t>
  </si>
  <si>
    <t>adult olfactory receptor neuron VM6; adult ORN VM6; odorant receptor neuron VM6</t>
  </si>
  <si>
    <t>Adult sensory neuron (ORN) that innervates antennal lobe glomerulus VM6.</t>
  </si>
  <si>
    <t>adult multidendritic neuron</t>
  </si>
  <si>
    <t>Any multidendritic neuron of the adult.</t>
  </si>
  <si>
    <t>adult thoracic mechanosensory neuron</t>
  </si>
  <si>
    <t>thoracic external sensillum primary neuron; Tes1N</t>
  </si>
  <si>
    <t>Mechanosensory neuron that has a dendrite in a mechanosensory chaeta of the adult thorax (excluding legs, wings and halteres). It projects to a ventral layer within the wing neuropil (Tsubouchi et al., 2017).</t>
  </si>
  <si>
    <t>adult abdominal mechanosensory chaeta neuron</t>
  </si>
  <si>
    <t>Aes1N; abdominal external sensillum primary neuron</t>
  </si>
  <si>
    <t>Mechanosensory neuron that has a dendrite in a mechanosensory chaeta of the adult abdomen. Its presynaptic terminals are found in the abdominal neuromere, dorsal to those of the abdominal multidendritic neurons (Tsubouchi et al., 2017).</t>
  </si>
  <si>
    <t>eyelet photoreceptor</t>
  </si>
  <si>
    <t>H-B eyelet photoreceptor</t>
  </si>
  <si>
    <t>Cholinergic, rhabdomeric photoreceptor cell which is part of the eyelet (Yasuyama and Meinertzhagen, 1999). Eyelet photoreceptors function in entrainment of the circadian clock to photoperiod (Helfrich-Forster et al., 2002). Their axons terminate in the accessory medulla (Helfrich-Forster et al., 2007).</t>
  </si>
  <si>
    <t>Yasuyama and Meinertzhagen, 1999, J. Comp. Neurol. 412(2): 193--202 (flybase.org/reports/FBrf0111143); Helfrich-Forster et al., 2002, J. Neurosci. 22(21): 9255--9266 (flybase.org/reports/FBrf0152146); Helfrich-Forster et al., 2007, J. Comp. Neurol. 500(1): 47--70 (flybase.org/reports/FBrf0193849)</t>
  </si>
  <si>
    <t>leg taste bristle chemosensory neuron</t>
  </si>
  <si>
    <t>leg gustatory sensillum primary neuron; Lgs1N</t>
  </si>
  <si>
    <t>Gustatory neuron of the adult that innervates a leg taste bristle. There are between 2 and 4 per bristle (Stocker 1994). Their axons innervate the most ventral part of the leg neuropil (Tsubouchi et al., 2017).</t>
  </si>
  <si>
    <t>Stocker, 1994, Cell Tissue Res. 275(1): 3--26 (flybase.org/reports/FBrf0068700); Tsubouchi et al., 2017, Science 358(6363): 615--623 (flybase.org/reports/FBrf0237124)</t>
  </si>
  <si>
    <t>sensory neuron of haltere capitella sensillum trichodeum</t>
  </si>
  <si>
    <t>Hes1N; haltere external sensillum primary neuron</t>
  </si>
  <si>
    <t>Sensory neuron that has a dendrite in a capitella sensillum trichodeum.</t>
  </si>
  <si>
    <t>sensory neuron of haltere sensillum campaniformium</t>
  </si>
  <si>
    <t>haltere campaniform sensillum primary neuron; Hcs1N</t>
  </si>
  <si>
    <t>Sensory neuron that has a dendrite in a sensillum campaniformium of the haltere. Their axons terminate in the haltere neuropil and they respond to mechanical stimuli. Some axon terminals reach the ventral gnathal ganglion.</t>
  </si>
  <si>
    <t>adult olfactory receptor neuron Ir40a VP1</t>
  </si>
  <si>
    <t>Ipsilateral olfactory receptor neuron that expresses the Ionotropic receptor (Ir) 40a (FBgn0259683), Ir93a (FBgn0259215) and Ir25a (FBgn0031634). It innervates the antennal lobe glomeruli VP1. It transduces signals from the basiconic sensilla of chamber I or the blunt-tipped sensilla of chamber II of the sacculus. This neuron responds to small decreases in temperature, but Ir40a is not required for this response.</t>
  </si>
  <si>
    <t>http://neuro.uni-konstanz.de/DoOR/content/receptor.php?OR=Ir40a.VP1; Benton et al., 2009, Cell 136(1): 149--162 (flybase.org/reports/FBrf0206496); Silbering et al., 2011, J. Neurosci. 31(38): 13357--13375 (flybase.org/reports/FBrf0215822); Enjin et al., 2016, Curr. Biol. 26(10): 1352--1358 (flybase.org/reports/FBrf0232388); Knecht et al., 2016, eLife 5: e17879 (flybase.org/reports/FBrf0233685)</t>
  </si>
  <si>
    <t>adult olfactory receptor neuron Ir40a VP4</t>
  </si>
  <si>
    <t>Ipsilateral olfactory receptor neuron that expresses the Ionotropic receptor (Ir) 40a (FBgn0259683), Ir93a (FBgn0259215) and Ir25a (FBgn0031634). It innervates the antennal lobe glomerulus VP4. It transduces signals from the basiconic sensilla of chamber I or the blunt-tipped sensilla of chamber II of the sacculus. This neuron responds to dry stimulus.</t>
  </si>
  <si>
    <t>http://neuro.uni-konstanz.de/DoOR/content/receptor.php?OR=Ir40a.VP4; Benton et al., 2009, Cell 136(1): 149--162 (flybase.org/reports/FBrf0206496); Silbering et al., 2011, J. Neurosci. 31(38): 13357--13375 (flybase.org/reports/FBrf0215822); Enjin et al., 2016, Curr. Biol. 26(10): 1352--1358 (flybase.org/reports/FBrf0232388); Knecht et al., 2016, eLife 5: e17879 (flybase.org/reports/FBrf0233685)</t>
  </si>
  <si>
    <t>labellar taste bristle sensory neuron</t>
  </si>
  <si>
    <t>Sensory neuron that innervates a labellar taste bristle.</t>
  </si>
  <si>
    <t>labral sense organ neuron</t>
  </si>
  <si>
    <t>LSO sensory neuron</t>
  </si>
  <si>
    <t>Sensory neuron that innervates the adult labral sense organ of the adult pharynx. There are 18 of these, 8 mechanosensory and 10 gustatory receptor neurons.</t>
  </si>
  <si>
    <t>labellar taste peg mechanosensory neuron</t>
  </si>
  <si>
    <t>Mechanosensory neuron that innervates a labial taste peg. There is one of these per taste peg, paired with one chemosensory neuron (Shanbhag et al., 2001).</t>
  </si>
  <si>
    <t>Shanbhag et al., 2001, Cell Tissue Res. 304(3): 423--437 (flybase.org/reports/FBrf0137194)</t>
  </si>
  <si>
    <t>adult labial sensory neuron</t>
  </si>
  <si>
    <t>Sensory neuron that innervates the labial sensilla, and fasciculates with the adult labial nerve. There are around 195 of these, with seven distinct types. These neurons project to defined glomeruli in the adult subesophageal zone.</t>
  </si>
  <si>
    <t>Nayak and Singh, 1985, Int. J. Insect Morph. Embryol. 14(2): 115--129 (flybase.org/reports/FBrf0042883); Shanbhag and Singh, 1992, Cell Tissue Res. 267(2): 273--282 (flybase.org/reports/FBrf0055600)</t>
  </si>
  <si>
    <t>Johnston organ neuron</t>
  </si>
  <si>
    <t>["Johnston's organ neuron", 'JON</t>
  </si>
  <si>
    <t>Scolopidial (mechanosensory) neuron of Johnston's organ. Its axon innervates the ipsilateral antennal mechanosensory and motor center (AMMC). A small number of fibers also innervate the contralateral AMMC via the commissure of JON. Subset of JO neurons extend into the ventral region of the ventrolateral protocerebrum and posterior part of the subesophageal ganglion.</t>
  </si>
  <si>
    <t>Kitamoto et al., 1995, J. Neurobiol. 28(1): 70--81 (flybase.org/reports/FBrf0083230); Kamikouchi et al., 2006, J. Comp. Neurol. 499(3): 317--356 (flybase.org/reports/FBrf0194812)</t>
  </si>
  <si>
    <t>AC thermosensory neuron</t>
  </si>
  <si>
    <t>anterior cell; AC neuron</t>
  </si>
  <si>
    <t>Thermosensory neuron located in the adult brain, anterior to the antennal lobe, that is necessary for warmth avoidance behavior (Hamada et al., 2008). AC thermosensory neurons innervate the antennal lobe glomerulus compartments VL2a and VL2p, with dendrites extending from the cell body. Its axon branches near the antennal lobe, projecting obliquely towards the ipsilateral posterior superior lateral protocerebrum before branching again to give extensive symmetrical arborizations in the superior medial protocerebrum in both hemispheres. The AC neurons are serotonergic (Shih and Chiang, 2011).</t>
  </si>
  <si>
    <t>Hamada et al., 2008, Nature 454(7201): 217--220 (flybase.org/reports/FBrf0205189); Shih and Chiang, 2011, J. Neurogenet. 25(1-2): 1--6 (flybase.org/reports/FBrf0213700)</t>
  </si>
  <si>
    <t>leg taste bristle mechanosensory neuron</t>
  </si>
  <si>
    <t>Any mechanosensory neuron that innervates a leg taste bristle.</t>
  </si>
  <si>
    <t>adult leg stretch receptor neuron</t>
  </si>
  <si>
    <t>Lsr1N; leg stretch receptor primary neuron</t>
  </si>
  <si>
    <t>Mechanosensory neuron that has a dendrite at a leg joint and is activated by movement of the joint (Desai et al., 2014). These innervate the femur-tibia and tibia-tarsus joints and their dendritic tips are not associated with cuticular structures, scolopales or musculature (Desai et al., 2014). Close to its tip, the dendrite branches towards the lateral aspect of the joint; the cell body is found near these dendritic terminals. (Desai et al., 2014). Its axons terminate in the leg neuropil (Tsubouchi et al., 2017).</t>
  </si>
  <si>
    <t>Desai et al., 2014, Science 343(6176): 1256--1259 (flybase.org/reports/FBrf0224410); Tsubouchi et al., 2017, Science 358(6363): 615--623 (flybase.org/reports/FBrf0237124)</t>
  </si>
  <si>
    <t>neuron of aristal sensillum</t>
  </si>
  <si>
    <t>neuron of aristal sense organ</t>
  </si>
  <si>
    <t>Sensory neuron of aristal sensillum. Each sensillum contains a pair of sensory dendrites. The outer segment of these dendrites is encased in an electron-dense dendritic sheath and each of the pair has a distinct morphology: one is short and cylindrical proximally, but flattened distally; the other is larger and has a plasma membrane that form 2 interdigitating spiral whorls of lamellae and has periodically arranged electron dense particles protruding from the plasma membrane into the extracellular space (Foelix et al., 1989). The inner-segments of these dendrites are delimited from the outer segments by a ciliary region and are rich in vesicles, mitochondria and ribosomes. The somata sit in a small ganglion near the base of the arista. The axons project via the aristal nerve, which merges with the antennal nerve, and innervate glomeruli VP2 and/or VP3 of the adult antennal lobe. (Stocker et al., 1983).</t>
  </si>
  <si>
    <t>Stocker et al., 1983, Cell Tissue Res. 232: 237--248 (flybase.org/reports/FBrf0039019); Stocker et al., 1990, Cell Tissue Res. 262(1): 9--34 (flybase.org/reports/FBrf0051437); He and Adler, 2001, Mech. Dev. 104(1-2): 69--78 (flybase.org/reports/FBrf0137012)</t>
  </si>
  <si>
    <t>eye photoreceptor cell</t>
  </si>
  <si>
    <t>retinula cell; lamina receptor cell</t>
  </si>
  <si>
    <t>Photoreceptor cell that forms the core of each ommatidium in the adult eye. Eight of these photoreceptors are arranged in each ommatidial core, bundled like the staves of a barrel. Each has a photosensitive rhabdomere that projects into the barrel cavity and adjacent supporting membrane, the stalk (Wolff and Ready, 1993). Each extends an axon into the optic lobe. Activation of the photoreceptor by light results in depolarization and in histamine release at the synapses of these axons (Sarthy, 1991).</t>
  </si>
  <si>
    <t>Sarthy, 1991, J. Neurochem. 57(5): 1757--1768 (flybase.org/reports/FBrf0054495); Wolff and Ready, 1993, Bate, Martinez Arias, 1993: 1277--1325 (flybase.org/reports/FBrf0064798)</t>
  </si>
  <si>
    <t>ocellus retinula cell</t>
  </si>
  <si>
    <t>ocellus photoreceptor</t>
  </si>
  <si>
    <t>Photoreceptor cell of the adult ocellus. The lateral ocelli have around 75 photoreceptor cells, whereas the medial one has around 100.</t>
  </si>
  <si>
    <t>Stark et al., 1989, J. Neurogenet. 5: 127--153 (flybase.org/reports/FBrf0050358)</t>
  </si>
  <si>
    <t>aristal sensory neuron VP2</t>
  </si>
  <si>
    <t>warm aristal neuron; warm thermoreceptor cells in the arista; warm cell; aristal neuron (VP2); hot aristal neuron</t>
  </si>
  <si>
    <t>Thermosensory neuron of the aristal sensillum that responds to temperature increases (Gallio et al., 2011). Its dendrite innervates the ipsilateral antennal lobe glomerulus VP2.</t>
  </si>
  <si>
    <t>Stocker et al., 1990, Cell Tissue Res. 262(1): 9--34 (flybase.org/reports/FBrf0051437); Gallio et al., 2011, Cell 144(4): 614--624 (flybase.org/reports/FBrf0213085)</t>
  </si>
  <si>
    <t>aristal sensory neuron VP3</t>
  </si>
  <si>
    <t>cool thermoreceptor cells in the arista; cool cell; cool aristal neuron; cold aristal neuron; aristal neuron (VP3)</t>
  </si>
  <si>
    <t>Thermosensory neuron of the aristal sensillum that responds to temperature decreases (Gallio et al., 2011). Its dendrite innervates the ipsilateral antennal lobe glomerulus VP3.</t>
  </si>
  <si>
    <t>Stocker et al., 1990, Cell Tissue Res. 262(1): 9--34 (flybase.org/reports/FBrf0051437)</t>
  </si>
  <si>
    <t>non-ascending mechanosensory neuron of leg chordotonal organ</t>
  </si>
  <si>
    <t>Lco1N thorax; Lco1N1T; Lco1N2T; leg chordotonal organ primary neuron of thorax</t>
  </si>
  <si>
    <t>Mechanosensory neuron of the adult that innervates a scolopidium of a chordotonal organ in the leg and does not ascend to the brain.</t>
  </si>
  <si>
    <t>ascending mechanosensory neuron of leg chordotonal organ</t>
  </si>
  <si>
    <t>Lco1N1B; Lco1N brain; Lco1N2B; leg chordotonal organ primary neuron of brain</t>
  </si>
  <si>
    <t>Mechanosensory neuron of the adult that innervates a scolopidium of a chordotonal organ in the leg and ascends to the brain. Different neurons reach different destinations, such as the gnathal ganglion, wedge and anterior ventrolateral protocerebrum.</t>
  </si>
  <si>
    <t>zone D Johnston organ neuron</t>
  </si>
  <si>
    <t>zone D JON</t>
  </si>
  <si>
    <t>Johnston organ neuron (JON) that innervates zone D of the most posterior region of the ipsilateral antennal mechanosensory and motor center (AMMC) with little arborization. There are around 40 of these cells, with cell bodies distributed as a pair of clusters (Kamikouchi et al., 2006). Some of these neurons respond to vibrations and are activated when stimulated with courtship pulse song, with greater activation at medium frequency (Matsuo et al., 2014). Some of these neurons are also activated by an anterior deflection of the arista, corresponding to air flow applied to the back of the head, similar to zone C Johnston organ neurons (Matsuo et al., 2014).</t>
  </si>
  <si>
    <t>Kamikouchi et al., 2006, J. Comp. Neurol. 499(3): 317--356 (flybase.org/reports/FBrf0194812); Matsuo et al., 2014, Front. Physiol. 5: 179 (flybase.org/reports/FBrf0225118)</t>
  </si>
  <si>
    <t>zone E Johnston organ neuron</t>
  </si>
  <si>
    <t>Johnston organ neuron activated by tonic posterior arista deflection', "Johnston's organ neuron activated by tonic posterior arista deflection", 'zone E JON</t>
  </si>
  <si>
    <t>Johnston's organ neuron that innervates zone E of the antennal mechanosensory and motor center (AMMC). The cell bodies of these neurons are co-mingled with those of zone C Johnston organ neurons, forming a broad ring mainly in the medial and outer layers of the Johnston's organ. Some of these neurons show a tonic response to static deflections of the arista (Kamikouchi et al., 2009) and are involved in sensing air-flow (Yorozu et al., 2009) and gravitational forces (Kamikouchi et al., 2009). They tend to have greater responses when the arista is displaced posteriorly, corresponding to air flow applied to the front of the head (Yorozu et al., 2009).</t>
  </si>
  <si>
    <t>Kamikouchi et al., 2006, J. Comp. Neurol. 499(3): 317--356 (flybase.org/reports/FBrf0194812); Kamikouchi et al., 2009, Nature 458(7235): 165--171 (flybase.org/reports/FBrf0207518); Yorozu et al., 2009, Nature 458(7235): 201--205 (flybase.org/reports/FBrf0207559)</t>
  </si>
  <si>
    <t>mechanosensory neuron of dorsal triple row bristle</t>
  </si>
  <si>
    <t>dorsal triple row bristle mechanosensory neuron</t>
  </si>
  <si>
    <t>Mechanosensory neuron innervating a dorsal triple row chemosensory bristle.</t>
  </si>
  <si>
    <t>Johnston organ neuron activated by antennal displacement</t>
  </si>
  <si>
    <t>Johnston organ neuron (JON) that is activated by a displacement of the antenna, which may be caused by sound vibrations or push-pull stimuli (Patella and Wilson, 2018).</t>
  </si>
  <si>
    <t>Patella and Wilson, 2018, Curr. Biol. 28(8): 1189--1203.e5 (flybase.org/reports/FBrf0238696)</t>
  </si>
  <si>
    <t>mechanosensory neuron of medial triple row bristle</t>
  </si>
  <si>
    <t>medial triple row bristle mechanosensory neuron</t>
  </si>
  <si>
    <t>Mechanosensory neuron innervating a medial triple row bristle.</t>
  </si>
  <si>
    <t>mechanosensory neuron of mechanosensory dorsal double row bristle</t>
  </si>
  <si>
    <t>neuron of mechanosensory dorsal double row bristle</t>
  </si>
  <si>
    <t>Mechanosensory neuron that innervates a mechanosensory dorsal double row bristle.</t>
  </si>
  <si>
    <t>mechanosensory neuron of chemosensory dorsal double row bristle</t>
  </si>
  <si>
    <t>Mechanosensory neuron that innervates a chemosensory dorsal double row bristle.</t>
  </si>
  <si>
    <t>labral sense organ chemosensory neuron</t>
  </si>
  <si>
    <t>Chemosensory neuron that has a dendrite in a sensillum of the adult labral sense organ.</t>
  </si>
  <si>
    <t>Nayak and Singh, 1983, Int. J. Insect Morph. Embryol. 12(5--6): 273--291 (flybase.org/reports/FBrf0074012)</t>
  </si>
  <si>
    <t>mechanosensory neuron of chemosensory ventral double row bristle</t>
  </si>
  <si>
    <t>Neuron involved in mechanosensation that is a part of the ventral double row chemosensory bristles.</t>
  </si>
  <si>
    <t>mechanosensory neuron of chemosensory ventral triple row bristle</t>
  </si>
  <si>
    <t>Mechanosensory neuron innervating a chemosensory ventral triple row bristle.</t>
  </si>
  <si>
    <t>dorsal margin photoreceptor</t>
  </si>
  <si>
    <t>.</t>
  </si>
  <si>
    <t>Fortini and Rubin, 1990, Genes Dev. 4: 444--463 (flybase.org/reports/FBrf0051852)</t>
  </si>
  <si>
    <t>chemosensory neuron of ventral triple row bristle</t>
  </si>
  <si>
    <t>ventral triple row bristle chemosensory neuron</t>
  </si>
  <si>
    <t>Chemosensory neuron innervating a ventral triple row chemosensory bristle.</t>
  </si>
  <si>
    <t>mesothoracic leg taste bristle mechanosensory neuron</t>
  </si>
  <si>
    <t>Mechanosensory neuron innervating a mesothoracic leg taste bristle. Each bristle is singly innervated by a mechanosensory neuron (Stocker 1994).</t>
  </si>
  <si>
    <t>Stocker, 1994, Cell Tissue Res. 275(1): 3--26 (flybase.org/reports/FBrf0068700)</t>
  </si>
  <si>
    <t>mechanosensory neuron of mechanosensory ventral triple row bristle</t>
  </si>
  <si>
    <t>ventral triple row bristle mechanosensory neuron</t>
  </si>
  <si>
    <t>Mechanosensory neuron innervating a mechanosensory ventral triple row bristle.</t>
  </si>
  <si>
    <t>metathoracic leg taste bristle mechanosensory neuron</t>
  </si>
  <si>
    <t>Mechanosensory neuron innervating a metathoracic leg taste bristle. Each bristle is singly innervated by a mechanosensory neuron (Stocker 1994).</t>
  </si>
  <si>
    <t>giant sensillum of the dorsal radius neuron</t>
  </si>
  <si>
    <t>GSR</t>
  </si>
  <si>
    <t>Large sensory neuron (approximately 20 by 10 micrometres) innervating the single large campaniform sensillum of the dorsal radius (Palka et al., 1979).</t>
  </si>
  <si>
    <t>Palka et al., 1979, Dev. Biol. 69: 549--575 (flybase.org/reports/FBrf0032909); Murray et al., 1984, Dev. Biol. 104(2): 259--273 (flybase.org/reports/FBrf0040724)</t>
  </si>
  <si>
    <t>prothoracic leg taste bristle mechanosensory neuron</t>
  </si>
  <si>
    <t>Mechanosensory neuron innervating a prothoracic leg taste bristle. Each bristle is singly innervated by a mechanosensory neuron (Stocker 1994).</t>
  </si>
  <si>
    <t>l-LNv neuron</t>
  </si>
  <si>
    <t>lLNv; l-vLN; large pigment-dispersing hormone-immunoreactive neuron close to medulla; large LNv; l-LNv</t>
  </si>
  <si>
    <t>Neuron of the period-expressing LNv cluster of the adult brain, with a large cell body and generally located more dorsally than the s-LNv neurons (Helfrich-Forster, 1998). There are four of these cells present in each cluster, all of which express Pdf (FBgn0023178). These neurons send dendrites through the posterior optic commissure to the contralateral optic lobe, where a few short fibers terminate in the accessory medulla, but most arborize extensively in the medulla itself (Helfrich-Forster, 2005; Helfrich-Forster et al., 2007). These arborizations in the medulla are associated with varicosities. These cells also project to the ipsilateral (adjacent) accessory medulla and its ventral extension, where they arborize extensively.</t>
  </si>
  <si>
    <t>Helfrich-Forster, 1998, J. Comp. Physiol. A, Sens. Neural. Behav. Physiol. 182(4): 435--453 (flybase.org/reports/FBrf0101921); Yang and Sehgal, 2001, Neuron 29(2): 453--467 (flybase.org/reports/FBrf0134807); Shafer et al., 2002, J. Neurosci. 22(14): 5946--5954 (flybase.org/reports/FBrf0151380); Helfrich-Forster, 2005, Genes Brain Behav. 4(2): 65--76 (flybase.org/reports/FBrf0183981); Helfrich-Forster et al., 2007, J. Comp. Neurol. 500(1): 47--70 (flybase.org/reports/FBrf0193849)</t>
  </si>
  <si>
    <t>mechanosensory neuron of ventral double row bristle</t>
  </si>
  <si>
    <t>mechanosensory ventral double row bristle neuron</t>
  </si>
  <si>
    <t>Neuron involved in mechanosensation innervating a mechanosensory ventral double row bristle.</t>
  </si>
  <si>
    <t>s-LNv Pdf neuron</t>
  </si>
  <si>
    <t>small Pdf neuron; small pigment-dispersing hormone-immunoreactive neuron close to medulla; sLNv PDF</t>
  </si>
  <si>
    <t>s-LNv neuron of the adult brain that expresses Pdf (FBgn0023178). There are four of these in each ventral cluster of LNs. Short, fine fibers lacking presynaptic sites contact the accessory medulla, whilst longer processes project toward the dorsal protocerebrum and terminate dorsofrontal to the mushroom body calyx close to the pars lateralis and close to the DN2 neurons (Helfrich-Forster et al., 2007) where they form both pre- and postsynaptic connections (Yasuyama and Meinertzhagen, 2010). Pdf rich dense-synaptic vesicles accumulate in terminal varicosities in these cells, but are not associated with presynaptic sites (Miskiewicz et al., 2004; Yasuyama and Meinertzhagen, 2010). They can be observed docked at the plasma membrane, suggesting paracrine release of Pdf.</t>
  </si>
  <si>
    <t>Miskiewicz et al., 2004, Neurosci. Lett. 363(1): 73--77 (flybase.org/reports/FBrf0179342); Rieger et al., 2006, J. Neurosci. 26(9): 2531--2543 (flybase.org/reports/FBrf0191052); Helfrich-Forster et al., 2007, J. Comp. Neurol. 500(1): 47--70 (flybase.org/reports/FBrf0193849); Yasuyama and Meinertzhagen, 2010, J. Comp. Neurol. 518(3): 292--304 (flybase.org/reports/FBrf0209462); Hermann-Luibl et al., 2014, J. Neurosci. 34(29): 9522--9536 (flybase.org/reports/FBrf0225654)</t>
  </si>
  <si>
    <t>chemosensory neuron of ventral double row bristle</t>
  </si>
  <si>
    <t>chemosensory ventral double row bristle neuron</t>
  </si>
  <si>
    <t>Chemosensory neuron innervating a chemosensory ventral double row bristle.</t>
  </si>
  <si>
    <t>adult abdominal multidendritic neuron</t>
  </si>
  <si>
    <t>Amd1N</t>
  </si>
  <si>
    <t>Mechanosensory multidendritic neuron that innervates the adult abdomen. These neurons extend dendrites under the dorsal and lateral body walls. Three innervate the dorsal region and two innervate the ventral region. Their axons project to a ventral region in the abdominal neuromere.</t>
  </si>
  <si>
    <t>campaniform sensillum anterior crossvein neuron</t>
  </si>
  <si>
    <t>ACV; sensillum campaniformium of anterior crossvein neuron; anterior crossvein campaniform sensillum neuron</t>
  </si>
  <si>
    <t>Neuron associated with the wing anterior crossvein sensillum (Murray et al., 1984).</t>
  </si>
  <si>
    <t>campaniform sensillum dorsal humeral crossvein neuron</t>
  </si>
  <si>
    <t>dorsal humeral crossvein campaniform sensillum neuron; dorsal humeral crossvein sensillum campaniformium neuron</t>
  </si>
  <si>
    <t>Neuron innervating the dorsal humeral crossvein campaniform sensillum.</t>
  </si>
  <si>
    <t>outer photoreceptor cell</t>
  </si>
  <si>
    <t>photoreceptor cell R1-6</t>
  </si>
  <si>
    <t>An eye photoreceptor cell whose rhabdomere is part of the outer trapezoid of rhabdomeres of each ommatidium. There are six of these per ommatidium. Each has a single axon that projects along a single lamina optic cartridge within which it makes extensive synaptic connections before terminating in the proximal lamina. This axon is presynaptic to lamina monopolar cells L1, L2 and L3 (at tetrad synapses), but also postsynaptic at (dyad) feedback synapses from L4 (collaterals from adjacent columns) (Meinertzhagen and O'Neil, 1991).</t>
  </si>
  <si>
    <t>Meinertzhagen and O'Neil, 1991, J. Comp. Neurol. 305(2): 232--263 (flybase.org/reports/FBrf0054529); Wolff and Ready, 1993, Bate, Martinez Arias, 1993: 1277--1325 (flybase.org/reports/FBrf0064798)</t>
  </si>
  <si>
    <t>campaniform sensillum L3-v of wing vein L3 neuron</t>
  </si>
  <si>
    <t>ventral sensillum of wing vein 3 neuron; ventral sensillum of L3-v of wing vein L3 neuron; sensillum campaniformium L3-v of wing vein L3 neuron</t>
  </si>
  <si>
    <t>Neuron innervating the ventral sensillum of wing vein L3.</t>
  </si>
  <si>
    <t>inner photoreceptor cell</t>
  </si>
  <si>
    <t>Eye photoreceptor cell whose rhabdomere is located in the center of each ommatidium.</t>
  </si>
  <si>
    <t>Wolff and Ready, 1993, Bate, Martinez Arias, 1993: 1277--1325 (flybase.org/reports/FBrf0064798)</t>
  </si>
  <si>
    <t>campaniform sensillum ventral humeral crossvein neuron</t>
  </si>
  <si>
    <t>ventral humeral crossvein campaniform sensillum neuron; ventral humeral crossvein sensillum campaniformium neuron</t>
  </si>
  <si>
    <t>Neuron innervating the ventral humeral crossvein campaniform sensillum.</t>
  </si>
  <si>
    <t>calcium-sensing neuron of the labellum</t>
  </si>
  <si>
    <t>Neuron of the labellum that is sensitive to increases in calcium concentration and is necessary for high calcium avoidance behavior. These have dendrites in S-type sensilla (short labellar taste bristles), including S3, S5, S6, S7, S8 and S10. The response to calcium requires the Ir25a and Ir76b co-receptors.</t>
  </si>
  <si>
    <t>Lee et al., 2018, Neuron 97(1): 67--74.e4 (flybase.org/reports/FBrf0237619)</t>
  </si>
  <si>
    <t>campaniform sensillum L3-2 of wing vein L3 neuron</t>
  </si>
  <si>
    <t>sensillum campaniformium L3-2 of wing vein L3 neuron</t>
  </si>
  <si>
    <t>Neuron innervating the second, medially located campaniform sensillum of wing vein L3.</t>
  </si>
  <si>
    <t>campaniform sensillum L3-1 of wing vein L3 neuron</t>
  </si>
  <si>
    <t>sensillum campaniformium L3-1 of wing vein L3 neuron</t>
  </si>
  <si>
    <t>Neuron innervating the L3-1 campaniform sensillum of wing vein L3.</t>
  </si>
  <si>
    <t>campaniform sensillum L3-3 of wing vein L3 neuron</t>
  </si>
  <si>
    <t>L3-3; sensillum campaniformium L3-3 of wing vein L3 neuron</t>
  </si>
  <si>
    <t>Neuron innervating the campaniform sensillum L3-3 of wing vein L3.</t>
  </si>
  <si>
    <t>Johnston organ neuron inhibited by antennal displacement</t>
  </si>
  <si>
    <t>class iii (inhibited) Johnston organ neuron (JON); class iii JON</t>
  </si>
  <si>
    <t>Johnston organ neuron (JON) that is inhibited by a displacement of the antenna, which may be caused by sound vibrations or push-pull stimuli (Patella and Wilson, 2018). These neurons tend to have their axons in the middle of the JON bundle (Patella and Wilson, 2018).</t>
  </si>
  <si>
    <t>grooming behavior Johnston organ neuron</t>
  </si>
  <si>
    <t>aJO; antennal grooming JO; antennal grooming Johnston organ neuron</t>
  </si>
  <si>
    <t>Johnston organ neuron (JON) that can induce grooming of the antennae, or the head, in response to antennal displacement. Many of these neurons have a cell body located in one of two distinct clusters in the dorsal and ventral regions of the Johnston organ and project to zones C and E of the AMMC (Hampel et al., 2015).</t>
  </si>
  <si>
    <t>Hampel et al., 2015, eLife 4: e08758 (flybase.org/reports/FBrf0229838)</t>
  </si>
  <si>
    <t>type II sensory neuron of shrubby fibers</t>
  </si>
  <si>
    <t>Sensory neuron that innervates the adult labial sensilla with type II fibers. After entering the subesophageal zone, most neurons terminate in the anteroventral region (taste-sensory glomerulus VL) or in the ventromedial region (taste-sensory glomerulus VM). The fibers are thick, with profuse and dense branches in the ipsilateral hemisphere, with a few branches crossing the midline.</t>
  </si>
  <si>
    <t>labellar multidendritic neuron</t>
  </si>
  <si>
    <t>multidendritic neuron in the labellum; md-L neuron</t>
  </si>
  <si>
    <t>Mechanosensory multidendritic neuron that innervates the labellum. There is one of these innervating each of the two bilaterally symmetrical labella. This cell expresses the gene Transmembrane channel-like, which is required for its response to the bending of L-type taste bristles. Its cell body is in the proximal part of the labellum and its axons project to the subesophageal zone, innervating a region distinct from that innervated by gustatory receptor neurons, such as those expressing Gr5a.</t>
  </si>
  <si>
    <t>Zhang et al., 2016, Neuron 91(4): 863--877 (flybase.org/reports/FBrf0233217)</t>
  </si>
  <si>
    <t>type I sensory neuron of coiled fibers</t>
  </si>
  <si>
    <t>Sensory neuron that innervates the adult labial sensilla with type I fibers. After entering the subesophageal zone, the neuron gives rise to 2-3 coiled branches, forming many knot-like structures ipsi- and contralaterally. A few neurons show a bilaterally symmetric branching pattern. These arborizations occupy a large volume in the ventrolateral and ventromedial regions (taste-sensory glomerulus VL and VM).</t>
  </si>
  <si>
    <t>L2 GRN</t>
  </si>
  <si>
    <t>bitter neuron</t>
  </si>
  <si>
    <t>Gustatory receptor neuron of the short or long sensilla of the labellum that is responsive to high concentrations of salt (Montell, 2009) or bitter compounds (Meunier et al., 2003). The bitter-sensing, Gr66a-expressing L2 GRNs also express Ir25a (Lee et al., 2018).</t>
  </si>
  <si>
    <t>Meunier et al., 2003, J. Neurobiol. 56(2): 139--152 (flybase.org/reports/FBrf0160792); Wang et al., 2004, Cell 117(7): 981--991 (flybase.org/reports/FBrf0179508); Montell, 2009, Curr. Opin. Neurobiol. 19(4): 345--353 (flybase.org/reports/FBrf0208984); Lee et al., 2018, Neuron 97(1): 67--74.e4 (flybase.org/reports/FBrf0237619)</t>
  </si>
  <si>
    <t>L1 GRN</t>
  </si>
  <si>
    <t>classical salt neuron</t>
  </si>
  <si>
    <t>Gustatory receptor neuron of the short or long sensilla of the labellum that is responsive to low concentrations of salt (Montell, 2009).</t>
  </si>
  <si>
    <t>Montell, 2009, Curr. Opin. Neurobiol. 19(4): 345--353 (flybase.org/reports/FBrf0208984)</t>
  </si>
  <si>
    <t>leg taste bristle segmental tarsal chemosensory neuron</t>
  </si>
  <si>
    <t>Lgs1NT; non-ascending leg taste bristle chemosensory neuron; leg gustatory sensillum primary neuron of thorax; VT; stGRN</t>
  </si>
  <si>
    <t>Gustatory neuron of the adult that innervates a tarsal taste bristle, projects to the ventral part of a single leg neuropil, and does not ascend to the brain (Thoma et al., 2016, Tsubouchi et al., 2017). This includes all leg taste bristle chemosensory neurons that express Gr5a (Kwon et al., 2014, Thoma et al., 2016).</t>
  </si>
  <si>
    <t>Kwon et al., 2014, J. Biosci., Bangalore 39(4): 565--574 (flybase.org/reports/FBrf0225914); Thoma et al., 2016, Nat. Commun. 7: 10678 (flybase.org/reports/FBrf0231007); Tsubouchi et al., 2017, Science 358(6363): 615--623 (flybase.org/reports/FBrf0237124)</t>
  </si>
  <si>
    <t>sugar-sensing neuron of the leg</t>
  </si>
  <si>
    <t>Sensory neuron that responds to sugars and innervates a taste bristle in the leg. These are characterized by expression of gustatory receptors Gr61a and Gr64f, with varying combinations of other Gr64 genes, Gr5a and Gr43a (Ling et al., 2014).</t>
  </si>
  <si>
    <t>Ling et al., 2014, J. Neurosci. 34(21): 7148--7164 (flybase.org/reports/FBrf0225125)</t>
  </si>
  <si>
    <t>leg taste bristle ascending tarsal chemosensory neuron</t>
  </si>
  <si>
    <t>atGRN; Lgs1NB; leg gustatory sensillum primary neuron of brain</t>
  </si>
  <si>
    <t>Gustatory neuron that innervates a tarsal taste bristle and ascends via the cervical connective to the brain. This includes all gustatory receptor-expressing leg taste bristle chemosensory neurons that do not express Gr5a (Kwon et al., 2014, Thoma et al., 2016, Tsubouchi et al., 2017).</t>
  </si>
  <si>
    <t>type VII sensory neuron of central fibers</t>
  </si>
  <si>
    <t>Sensory neuron that innervates the adult labial sensilla with type III fibers. After entering the subesophageal zone, neurons terminate in the ipsilateral central most region (taste-sensory glomerulus VM and M). They branch throughout their length.</t>
  </si>
  <si>
    <t>type VI sensory neuron of dorsal contralateral fibers</t>
  </si>
  <si>
    <t>Sensory neuron that innervates the adult labial sensilla with type III fibers. After entering the subesophageal zone, neurons terminate in the ipsilateral mediodorsal region (taste-sensory glomerulus M), with some branches extending contralaterally.</t>
  </si>
  <si>
    <t>type V sensory neuron of ventral contralateral fibers</t>
  </si>
  <si>
    <t>Sensory neuron that innervates the adult labial sensilla with type III fibers. After entering the subesophageal zone, neurons extend contralaterally in the ventral region (taste-sensory glomerulus VM). They arborize throughout their length, giving off several small branches.</t>
  </si>
  <si>
    <t>type IV sensory neuron of dorsal ipsilateral fibers</t>
  </si>
  <si>
    <t>Sensory neuron that innervates the adult labial sensilla with type III fibers. After entering the subesophageal zone, neurons terminate in the ipsilateral anterodorsal region (taste-sensory glomerulus DA). The terminal branches give rise to lateral branches that extend away from the midline.</t>
  </si>
  <si>
    <t>W cell</t>
  </si>
  <si>
    <t>water neuron; W GRN</t>
  </si>
  <si>
    <t>Gustatory receptor neuron of the short or long sensilla of the labellum that is responsive to water (Montell, 2009).</t>
  </si>
  <si>
    <t>type III sensory neuron of ventral ipsilateral fibers</t>
  </si>
  <si>
    <t>Sensory neuron that innervates the adult labial sensilla with type III fibers. After entering the subesophageal zone, neurons terminate in the ipsilateral anteroventral region (taste-sensory glomerulus VL). The terminal branches have sparse terminals.</t>
  </si>
  <si>
    <t>S cell</t>
  </si>
  <si>
    <t>S GRN; sugar neuron; category IS neuron; Gr5a neuron</t>
  </si>
  <si>
    <t>Gustatory receptor neuron that innervates a sensillum of the labellum and is responsive to sugars (Montell, 2009), and possibly also amino acids (Dunipace, et al., 2001, Ganguly et al., 2017). There is one of these in each sensillum of the labellum and they all express Gr5a and Gr64f (Weiss et al., 2011). A subset of these also express Ir25a (Lee et al., 2018).</t>
  </si>
  <si>
    <t>Dunipace et al., 2001, Curr. Biol. 11(11): 822--835 (flybase.org/reports/FBrf0137203); Wang et al., 2004, Cell 117(7): 981--991 (flybase.org/reports/FBrf0179508); Montell, 2009, Curr. Opin. Neurobiol. 19(4): 345--353 (flybase.org/reports/FBrf0208984); Weiss et al., 2011, Neuron 69(2): 258--272 (flybase.org/reports/FBrf0212834); Ganguly et al., 2017, Cell Rep. 18(3): 737--750 (flybase.org/reports/FBrf0234535); Lee et al., 2018, Neuron 97(1): 67--74.e4 (flybase.org/reports/FBrf0237619)</t>
  </si>
  <si>
    <t>labral sense organ mechanosensory neuron</t>
  </si>
  <si>
    <t>Mechanosensory neuron that has a dendrite in a sensillum of the adult labral sense organ.</t>
  </si>
  <si>
    <t>mechanosensory neuron of anterior postalar bristle</t>
  </si>
  <si>
    <t>Mechanosensory neuron that innervates the anterior postalar bristle in the adult thorax. It fasciculates with the posterior dorsal mesothoracic nerve, extends ventrally and medially, bifurcates and follows the main course of the pathway anteriorly, reaching the prothoracic neuromere, and posteriorly, along the mesothoracic neuromere up to the bifurcation of the posterior crossbranch.</t>
  </si>
  <si>
    <t>Ghysen, 1980, Dev. Biol. 78(2): 521--541 (flybase.org/reports/FBrf0034519)</t>
  </si>
  <si>
    <t>mechanosensory neuron of presutural bristle</t>
  </si>
  <si>
    <t>Mechanosensory neuron that innervates the presutural bristle in the adult thorax. It fasciculates with the posterior dorsal mesothoracic nerve, extends ventrally and medially, bifurcates and follows the main course of the pathway anteriorly, along the medial edge and halfway along the prothoracic neuromere, and posteriorly, up to the bifurcation of the posterior crossbranch.</t>
  </si>
  <si>
    <t>mechanosensory neuron of posterior postalar bristle</t>
  </si>
  <si>
    <t>Mechanosensory neuron that innervates the posterior postalar bristle in the adult thorax. It fasciculates with the posterior dorsal mesothoracic nerve, extends ventrally and medially, bifurcates and follows the main course of the pathway anteriorly, reaching the prothoracic neuromere, and posteriorly, up to the bifurcation of the posterior crossbranch. The main crossbranch extends contralaterally.</t>
  </si>
  <si>
    <t>mechanosensory neuron of anterior supraalar bristle</t>
  </si>
  <si>
    <t>Mechanosensory neuron that innervates the anterior supraalar bristle in the adult thorax. It fasciculates with the posterior dorsal mesothoracic nerve, extends ventrally and medially, bifurcates and follows the main course of the pathway anteriorly, along the medial edge and halfway along the prothoracic neuromere, and posteriorly, up to the bifurcation of the posterior crossbranch and main crossbranch.</t>
  </si>
  <si>
    <t>mesothoracic leg taste bristle chemosensory neuron</t>
  </si>
  <si>
    <t>Gustatory neuron innervating a mesothoracic leg taste bristle. There are between 2 and 4 per bristle (Stocker 1994).</t>
  </si>
  <si>
    <t>mechanosensory neuron of posterior supraalar bristle</t>
  </si>
  <si>
    <t>Mechanosensory neuron that innervates the posterior supraalar bristle in the adult thorax. It fasciculates with the posterior dorsal mesothoracic nerve, extends ventrally and medially, bifurcates and follows the main course of the pathway anteriorly, along the medial edge and halfway along the prothoracic neuromere, and posteriorly, up to the bifurcation of the posterior crossbranch.</t>
  </si>
  <si>
    <t>mechanosensory neuron of anterior notopleural bristle</t>
  </si>
  <si>
    <t>Mechanosensory neuron that innervates the anterior notopleural bristle in the adult thorax. It fasciculates with the posterior dorsal mesothoracic nerve, extends ventrally and medially, bifurcates and follows the main course of the pathway anteriorly, along the medial edge of the prothoracic neuromere, and posteriorly, up to the bifurcation of the posterior crossbranch.</t>
  </si>
  <si>
    <t>metathoracic leg taste bristle chemosensory neuron</t>
  </si>
  <si>
    <t>Gustatory neuron innervating a metathoracic leg taste bristle. There are between 2 and 4 per bristle (Stocker 1994).</t>
  </si>
  <si>
    <t>antennal olfactory receptor neuron</t>
  </si>
  <si>
    <t>antennal ORN</t>
  </si>
  <si>
    <t>Odorant receptor neuron (ORN) whose dendrite transduces signals from some antennal sensillum. The axons of these neurons fasciculate in the antennal nerve and innervate the antennal lobe.</t>
  </si>
  <si>
    <t>mechanosensory neuron of posterior notopleural bristle</t>
  </si>
  <si>
    <t>Mechanosensory neuron that innervates the posterior notopleural bristle in the adult thorax. It fasciculates with the posterior dorsal mesothoracic nerve, extends ventrally and medially, bifurcates and follows the main course of the pathway anteriorly, along the medial edge and halfway along the prothoracic neuromere, and posteriorly, up to the bifurcation of the posterior crossbranch.</t>
  </si>
  <si>
    <t>maxillary palp olfactory receptor neuron</t>
  </si>
  <si>
    <t>maxillary palp ORN</t>
  </si>
  <si>
    <t>Odorant receptor neuron (ORN) whose dendrite transduces signals from some maxillary palp basiconic sensillum. The axons of these neurons fasciculate in the labial nerve and the antenno-subesophageal tract (AST) and innervate the antennal lobe.</t>
  </si>
  <si>
    <t>prothoracic leg taste bristle chemosensory neuron</t>
  </si>
  <si>
    <t>Gustatory neuron innervating a prothoracic leg taste bristle. There are between 2 and 4 per bristle (Stocker 1994).</t>
  </si>
  <si>
    <t>mechanosensory neuron of trochanter sensillum campaniformium</t>
  </si>
  <si>
    <t>Mechanosensory neuron with a dendrite in a sensillum campaniformium of the trochanter.</t>
  </si>
  <si>
    <t>pharyngeal VL1 neuron</t>
  </si>
  <si>
    <t>Chemosensory neuron of the pharynx that projects to the ipsilateral VL1 antennal lobe glomerulus via the accessory pharyngeal nerve (Stocker et al., 1990).</t>
  </si>
  <si>
    <t>mechanosensory neuron of humeral bristle</t>
  </si>
  <si>
    <t>Mechanosensory neuron that innervates the humeral bristle in the adult thorax. It fasciculates with one of the prothoracic nerves, following the dorsal and then medial edge of the prothoracic neuromere until it reaches the main course of the pathway and extends posteriorly.</t>
  </si>
  <si>
    <t>mechanosensory neuron of anterior scutellar bristle</t>
  </si>
  <si>
    <t>Mechanosensory neuron that innervates the anterior scutellar bristle in the adult thorax. It fasciculates with the posterior dorsal mesothoracic nerve, extends ventrally and medially, bifurcates and follows the main course of the pathway anteriorly, extending to the prothoracic neuromere, and posteriorly, up to the bifurcation of the metathoracic crossbranch. The main crossbranch extends contralaterally. Occasionally, a metathoracic crossbranch is observed.</t>
  </si>
  <si>
    <t>mechanosensory neuron of metathoracic trochanter hair plate</t>
  </si>
  <si>
    <t>Any mechanosensory neuron that has a dendrite in a hair plate of the trochanter of the metathoracic leg.</t>
  </si>
  <si>
    <t>mechanosensory neuron of posterior scutellar bristle</t>
  </si>
  <si>
    <t>Mechanosensory neuron that innervates the posterior scutellar bristle in the adult thorax. It fasciculates with the posterior dorsal mesothoracic nerve, extends ventrally and medially, bifurcates and follows the main course of the pathway anteriorly, with a very short branch that extends to the prothoracic neuromere, and posteriorly, up to the abdominal ganglion. The main crossbranch extends contralaterally. Occasionally, a metathoracic crossbranch is observed.</t>
  </si>
  <si>
    <t>mechanosensory neuron of mesothoracic trochanter hair plate</t>
  </si>
  <si>
    <t>Any mechanosensory neuron that has a dendrite in a hair plate of the trochanter of the mesothoracic leg.</t>
  </si>
  <si>
    <t>mechanosensory neuron of anterior dorsocentral bristle</t>
  </si>
  <si>
    <t>Mechanosensory neuron that innervates the anterior dorsocentral bristle in the adult thorax. It fasciculates with the posterior dorsal mesothoracic nerve, extends ventrally and medially, bifurcates and follows the main course of the pathway anteriorly, along the medial edge and halfway along the prothoracic neuromere, and posteriorly, along the mesothoracic neuromere. The main crossbranch extends contralaterally. Occasionally, anterior and posterior crossbranches are observed. The central branches form mostly terminal but also en passant synapses. Presynaptic terminals are enriched near the midline, along the anterior branch, contralateral branches and on the distal tip of the posterior projecting branch.</t>
  </si>
  <si>
    <t>Ghysen, 1980, Dev. Biol. 78(2): 521--541 (flybase.org/reports/FBrf0034519); Urwyler et al., 2015, Development 142(2): 394--405 (flybase.org/reports/FBrf0227234)</t>
  </si>
  <si>
    <t>mechanosensory neuron of prothoracic trochanter hair plate</t>
  </si>
  <si>
    <t>Any mechanosensory neuron that has a dendrite in a hair plate of the trochanter of the prothoracic leg.</t>
  </si>
  <si>
    <t>mechanosensory neuron of posterior dorsocentral bristle</t>
  </si>
  <si>
    <t>Mechanosensory neuron that innervates the posterior dorsocentral bristle in the adult thorax. It fasciculates with the posterior dorsal mesothoracic nerve, extends ventrally and medially, bifurcates and follows the main course of the pathway anteriorly, extending halfway along the prothoracic neuromere, and posteriorly, up to the bifurcation of the metathoracic crossbranch. The main crossbranch extends contralaterally. Occasionally, anterior and posterior crossbranches are observed. The central branches form mostly terminal but also en passant synapses. Presynaptic terminals are enriched near the midline, along the anterior branch, contralateral branches and on four stereotypic locations on the posterior projecting branch.</t>
  </si>
  <si>
    <t>mechanosensory neuron of metathoracic coxal hair plate</t>
  </si>
  <si>
    <t>Any mechanosensory neuron that has a dendrite in a hair plate of the coxa of the metathoracic leg.</t>
  </si>
  <si>
    <t>mechanosensory neuron of mesothoracic coxal hair plate</t>
  </si>
  <si>
    <t>Any mechanosensory neuron that has a dendrite in a hair plate of the coxa of the mesothoracic leg.</t>
  </si>
  <si>
    <t>mechanosensory neuron of prothoracic coxal hair plate</t>
  </si>
  <si>
    <t>Any mechanosensory neuron that has a dendrite in a hair plate of the coxa of the prothoracic leg.</t>
  </si>
  <si>
    <t>mechanosensory neuron of femoral sensillum campaniformium</t>
  </si>
  <si>
    <t>Mechanosensory neuron with a dendrite in a sensillum campaniformium of the femur.</t>
  </si>
  <si>
    <t>ventral cibarial sense organ neuron</t>
  </si>
  <si>
    <t>VCSO GRN</t>
  </si>
  <si>
    <t>Gustatory receptor neuron that innervates the ventral cibarial sense organ of the adult pharynx.</t>
  </si>
  <si>
    <t>Nayak and Singh, 1983, Int. J. Insect Morph. Embryol. 12(5--6): 273--291 (flybase.org/reports/FBrf0074012); Gendre et al., 2004, Development 131(1): 83--92 (flybase.org/reports/FBrf0167539); Montell, 2009, Curr. Opin. Neurobiol. 19(4): 345--353 (flybase.org/reports/FBrf0208984)</t>
  </si>
  <si>
    <t>labellar taste peg chemosensory neuron</t>
  </si>
  <si>
    <t>Chemosensory neuron that innervates a labial taste peg. There is one of these per taste peg, paired with one mechanosensory neuron (Shanbhag et al., 2001).</t>
  </si>
  <si>
    <t>mechanosensory neuron of femoral chordotonal organ</t>
  </si>
  <si>
    <t>Mechanosensory neuron that innervates a scolopidium of a femoral chordotonal organ.</t>
  </si>
  <si>
    <t>zone A Johnston organ neuron</t>
  </si>
  <si>
    <t>["zone A Johnston's organ neuron", 'zone A JON</t>
  </si>
  <si>
    <t>Johnston organ neuron (JON) that innervates zone A of the antennal mechanosensory and motor center (AMMC). The cell bodies of these neurons are located mainly in the inner layer of the Johnston organ, directly surrounding the antennal nerve. Some of these neurons respond to vibrations and are activated when stimulated with courtship pulse song, with greater activation at higher frequency (Kamikouchi et al., 2009).</t>
  </si>
  <si>
    <t>zone B Johnston organ neuron</t>
  </si>
  <si>
    <t>zone B JON', "zone B Johnston's organ neuron"]</t>
  </si>
  <si>
    <t>Johnston organ neuron that innervates zone B of the antennal mechanosensory and motor center (AMMC). The cell bodies of these neurons are distributed as a ring in the middle layer of cells within the Johnston organ (Kamikouchi et al., 2006). Some of these neurons respond to vibrations and are activated when stimulated with courtship pulse song, with greater activation at lower frequency (Kamikouchi et al., 2009).</t>
  </si>
  <si>
    <t>Kamikouchi et al., 2006, J. Comp. Neurol. 499(3): 317--356 (flybase.org/reports/FBrf0194812); Kamikouchi et al., 2009, Nature 458(7235): 165--171 (flybase.org/reports/FBrf0207518)</t>
  </si>
  <si>
    <t>mesothoracic leg bristle mechanosensory neuron</t>
  </si>
  <si>
    <t>Mechanosensory neuron that has a dendrite in a mechanosensory bristle of the mesothoracic leg.</t>
  </si>
  <si>
    <t>zone C Johnston organ neuron</t>
  </si>
  <si>
    <t>["zone C Johnston's organ neuron", 'Johnston organ neuron activated by tonic anterior arista deflection', "Johnston's organ neuron activated by tonic anterior arista deflection", 'zone C JON</t>
  </si>
  <si>
    <t>Johnston organ neuron that innervates zone C of the antennal mechanosensory and motor center (AMMC). The cell bodies of these neurons are co-mingled with those of zone E Johnston organ neurons, forming a broad ring mainly in the medial and outer layers of the Johnston's organ. Some of these neurons show a tonic response to static deflections of the arista (Kamikouchi et al., 2009) and are involved in sensing air-flow (Yorozu et al., 2009) and gravitational forces (Kamikouchi et al., 2009). They tend to have greater responses when the arista is displaced anteriorly, corresponding to air flow applied to the back of the head (Yorozu et al., 2009).</t>
  </si>
  <si>
    <t>metathoracic leg bristle mechanosensory neuron</t>
  </si>
  <si>
    <t>Mechanosensory neuron that has a dendrite in a mechanosensory bristle of the metathoracic leg.</t>
  </si>
  <si>
    <t>prothoracic leg bristle mechanosensory neuron</t>
  </si>
  <si>
    <t>Mechanosensory neuron that has a dendrite in a mechanosensory bristle of the prothoracic leg.</t>
  </si>
  <si>
    <t>dorsal cibarial sense organ neuron</t>
  </si>
  <si>
    <t>DCSO GRN</t>
  </si>
  <si>
    <t>Gustatory receptor neuron that innervates the dorsal cibarial sense organ of the adult pharynx.</t>
  </si>
  <si>
    <t>Nayak and Singh, 1983, Int. J. Insect Morph. Embryol. 12(5--6): 273--291 (flybase.org/reports/FBrf0074012); Montell, 2009, Curr. Opin. Neurobiol. 19(4): 345--353 (flybase.org/reports/FBrf0208984)</t>
  </si>
  <si>
    <t>adult olfactory receptor neuron Or67d</t>
  </si>
  <si>
    <t>ORN at1; ORN (Or67d); odorant receptor neuron OR67d; odorant receptor neuron DA1; ORN at1A; adult ORN Or67d</t>
  </si>
  <si>
    <t>Bilateral olfactory receptor neuron (ORN) that expresses OR67d (FBgn0036080). Its axon branches, with one branch innervating the ipsilateral antennal lobe glomerulus DA1 and the other fasciculating with the antennal commissure and innervating the contralateral antennal lobe glomerulus DA1. Its dendrite transduces signals from antennal trichoid sensillum at1.</t>
  </si>
  <si>
    <t>http://neuro.uni-konstanz.de/DoOR/content/receptor.php?OR=Or67d; Couto et al., 2005, Curr. Biol. 15(17): 1535--1547 (flybase.org/reports/FBrf0187305); Fishilevich and Vosshall, 2007, Curr. Biol. 17(13): 1180 (flybase.org/reports/FBrf0201681)</t>
  </si>
  <si>
    <t>adult Ir56d neuron of labellar taste peg</t>
  </si>
  <si>
    <t>E409 neuron</t>
  </si>
  <si>
    <t>Adult Ir56d-expressing neuron that innervates labellar taste pegs. It responds to carbonated solutions and projects to anterior maxillary sensory zone 1 (AMS1) of the subesophageal zone (Sanchez-Alcaniz et al., 2018).</t>
  </si>
  <si>
    <t>Sánchez-Alcañiz et al., 2018, Nat. Commun. 9(1): 4252 (flybase.org/reports/FBrf0240321)</t>
  </si>
  <si>
    <t>adult olfactory receptor neuron Ir76a</t>
  </si>
  <si>
    <t>ORN ac4; ORN (VM4); ORN ac4X; ORN Ir76a; ionotropic receptor neuron Ir76a; Ir76a ac4; ionotropic receptor neuron VM4</t>
  </si>
  <si>
    <t>Bilateral olfactory receptor neuron that expresses the ionotropic glutamate receptors (Ir) 76a (FBgn0260874) and the co-receptors Ir76b (FBgn0036937) and Ir25a (FBgn0031634). Its axon branches, with one branch innervating the ipsilateral antennal lobe glomerulus VM4 and the other fasciculating with the antennal commissure and innervating the contralateral antennal lobe glomerulus VM4 (Silbering et al., 2011). Its dendrite transduces signals from the antennal coeloconic sensillum ac4 (Benton et al., 2009).</t>
  </si>
  <si>
    <t>http://neuro.uni-konstanz.de/DoOR/content/receptor.php?OR=Ir76a; Benton et al., 2009, Cell 136(1): 149--162 (flybase.org/reports/FBrf0206496); Silbering et al., 2011, J. Neurosci. 31(38): 13357--13375 (flybase.org/reports/FBrf0215822)</t>
  </si>
  <si>
    <t>adult olfactory receptor neuron Ir64a</t>
  </si>
  <si>
    <t>ORN (Dp1m); ionotropic receptor neuron Ir64a; ORN sacIII; ORN Ir64a</t>
  </si>
  <si>
    <t>Bilateral olfactory receptor neuron that expresses the ionotropic glutamate receptor (Ir) 64a (FBgn0035604) and the co-receptor Ir8a (FBgn0052704). Its axon branches, with one branch innervating an ipsilateral antennal lobe glomerulus and the other fasciculating with the antennal commissure and innervating the corresponding contralateral lobe glomerulus. Two subtypes are identified: one innervates the antennal lobe DC4 glomerulus and the other innervates the medial compartment of DP1 glomerulus. Its dendrite transduces signals from the grooved sensillum of chamber III of the sacculus (Shanbhag et al., 1995).</t>
  </si>
  <si>
    <t>Shanbhag et al., 1995, Cell Tissue Res. 282(2): 237--249 (flybase.org/reports/FBrf0084361); Ai et al., 2010, Nature 468(7324): 691--695 (flybase.org/reports/FBrf0212455); Silbering et al., 2011, J. Neurosci. 31(38): 13357--13375 (flybase.org/reports/FBrf0215822)</t>
  </si>
  <si>
    <t>adult olfactory receptor neuron Ir21a</t>
  </si>
  <si>
    <t>ORN sacIII; OSN Ir21a; ionotropic receptor neuron Ir21a; ORN Ir21a; Ir21a</t>
  </si>
  <si>
    <t>Ipsilateral olfactory receptor neuron that expresses the Ionotropic receptor (Ir) 21a (FBgn0031209) and the co-receptor Ir25a (FBgn0031634). It innervates the antennal lobe glomeruli VP3. Its dendrite transduces signals from the grooved sensillum of chamber III of the sacculus.</t>
  </si>
  <si>
    <t>Silbering et al., 2011, J. Neurosci. 31(38): 13357--13375 (flybase.org/reports/FBrf0215822)</t>
  </si>
  <si>
    <t>Johnston organ neuron b1</t>
  </si>
  <si>
    <t>JON-b1</t>
  </si>
  <si>
    <t>Neuron of the Johnston organ that has presynaptic termini in AMMC zone B only (either subregion).</t>
  </si>
  <si>
    <t>Kamikouchi et al., 2006, J. Comp. Neurol. 499(3): 317--356 (flybase.org/reports/FBrf0194812)</t>
  </si>
  <si>
    <t>Johnston organ neuron a4</t>
  </si>
  <si>
    <t>JON-a4</t>
  </si>
  <si>
    <t>Neuron of the Johnston organ that has presynaptic termini in subregions AP and AV1 and AD of AMMC zone A only.</t>
  </si>
  <si>
    <t>adult olfactory receptor neuron Ir75a</t>
  </si>
  <si>
    <t>ORN (Dp1l); ORN ac2; ORN ac2X; Ir75a ac2; ORN Ir75a; ionotropic receptor neuron Ir75a</t>
  </si>
  <si>
    <t>Bilateral olfactory receptor neuron that expresses the Ionotropic receptor (Ir) 75a (FBgn0036757) and the co-receptor Ir8a (FBgn0052704). Its axon branches, with one branch innervating the ipsilateral antennal lobe glomerulus DP1 lateral compartment and the other fasciculating with the antennal commissure and innervating the contralateral antennal lobe glomerulus DP1 lateral compartment (Silbering et al., 2011). Its dendrite transduces signals from the antennal coeloconic sensillum ac2 (Benton et al., 2009).</t>
  </si>
  <si>
    <t>http://neuro.uni-konstanz.de/DoOR/content/receptor.php?OR=Ir75a; Benton et al., 2009, Cell 136(1): 149--162 (flybase.org/reports/FBrf0206496); Silbering et al., 2011, J. Neurosci. 31(38): 13357--13375 (flybase.org/reports/FBrf0215822)</t>
  </si>
  <si>
    <t>adult olfactory receptor neuron Ir41a</t>
  </si>
  <si>
    <t>ORN ac2; ORN ac2Y; ORN (VC5); ionotropic receptor neuron Ir41a; ORN Ir41a; Ir41a ac2</t>
  </si>
  <si>
    <t>Bilateral olfactory receptor neuron that expresses the Ionotropic receptor (Ir) 41a (FBgn0040849) and the co-receptors 25a (FBgn0031634) and 76b (FBgn0036937). It innervates the antennal lobe glomeruli VC5. Its dendrite transduces signals from the antennal coeloconic sensillum ac2 (Benton et al., 2009).</t>
  </si>
  <si>
    <t>http://neuro.uni-konstanz.de/DoOR/content/receptor.php?OR=Ir41a; Benton et al., 2009, Cell 136(1): 149--162 (flybase.org/reports/FBrf0206496)</t>
  </si>
  <si>
    <t>adult olfactory receptor neuron Ir75d ac2</t>
  </si>
  <si>
    <t>ORN ac2Z; Ir75d ac2; ORN Ir75d ac2; ionotropic receptor neuron Ir75d ac2; ORN (VL1); ORN ac2</t>
  </si>
  <si>
    <t>Ipsilateral olfactory receptor neuron that expresses the Ionotropic receptor (Ir) 75d (FBgn0036829) and the co-receptor Ir25a (FBgn0031634). It innervates the antennal lobe glomerulus VL1 (Silbering et al., 2011). Its dendrite transduces signals from the antennal coeloconic sensillum ac2. It is distinguishable from IR75d ac1 and IR75d ac4 by its odor response profile (Benton et al., 2009).</t>
  </si>
  <si>
    <t>Yao et al., 2005, J. Neurosci. 25(37): 8359--8367 (flybase.org/reports/FBrf0187906); Benton et al., 2009, Cell 136(1): 149--162 (flybase.org/reports/FBrf0206496); Silbering et al., 2011, J. Neurosci. 31(38): 13357--13375 (flybase.org/reports/FBrf0215822)</t>
  </si>
  <si>
    <t>photoreceptor cell R2</t>
  </si>
  <si>
    <t>receptor cell R2; lamina receptor cell R2</t>
  </si>
  <si>
    <t>Outer photoreceptor cell of the adult eye whose rhabdomere is located in the middle of the longer of the two parallel sides of the trapezoid of rhabdomeres in each ommatidium. It has a single axon that projects along a single lamina optic cartridge (Fischbach and Dittrich, 1989; Wolff and Ready, 1993) within which it makes extensive presynaptic connections with the lamina monopolar cells L1-L3, lamina intrinsic (amacrine) cells and columnar neuron T1, before terminating in the proximal lamina. It also establishes connections with epithelial and surface glial cells The photoreceptor R2 receives input from L2, L4 (collaterals from adjacent columns), lamina intrinsic (amacrine) cells and lamina wide-field neurons Lawf (Rivera-Alba et al., 2011).</t>
  </si>
  <si>
    <t>Fischbach and Dittrich, 1989, Cell Tissue Res. 258(3): 441--475 (flybase.org/reports/FBrf0049410); Wolff and Ready, 1993, Bate, Martinez Arias, 1993: 1277--1325 (flybase.org/reports/FBrf0064798); Rivera-Alba et al., 2011, Curr. Biol. 21(23): 2000--2005 (flybase.org/reports/FBrf0216925)</t>
  </si>
  <si>
    <t>adult olfactory receptor neuron Ir75a/b</t>
  </si>
  <si>
    <t>Ir75a/b ac3; ionotropic receptor neuron Ir75a/b; ORN Ir75b/a; ionotropic receptor neuron Ir75b/a; ORN Ir75a/b; ORN ac3; Ir75ab/a ac3; ORN ac3A</t>
  </si>
  <si>
    <t>Bilateral olfactory receptor neuron that expresses the Ionotropic receptors (Ir) 75a (FBgn0036757) and 75b (FBgn0261402) and the co-receptor Ir8a (FBgn0052704) (Silbering et al., 2011). Its axon branches, with one branch innervating the ipsilateral antennal lobe glomerulus DL2 and the other fasciculating with the antennal commissure and innervating the contralateral antennal lobe glomerulus DL2. Its dendrite transduces signals from the antennal coeloconic sensillum ac3. It is distinguishable from the other ORN ac3 (Ir76b/Or35a) by its odor response profile. A subset of these neurons also expresses Ir75c (FBgn0261401) (Benton et al., 2009).</t>
  </si>
  <si>
    <t>http://neuro.uni-konstanz.de/DoOR/content/receptor.php?OR=ac3A; Yao et al., 2005, J. Neurosci. 25(37): 8359--8367 (flybase.org/reports/FBrf0187906); Benton et al., 2009, Cell 136(1): 149--162 (flybase.org/reports/FBrf0206496); Silbering et al., 2011, J. Neurosci. 31(38): 13357--13375 (flybase.org/reports/FBrf0215822)</t>
  </si>
  <si>
    <t>adult olfactory receptor neuron Or35a</t>
  </si>
  <si>
    <t>ORN ac3; ionotropic receptor neuron VC3; ORN (Or35a); odorant receptor neuron VC3; ORN ac3B; ORN Or35a; ORN (VC3m); adult ORN Or35a</t>
  </si>
  <si>
    <t>Bilateral olfactory receptor neuron (ORN) that expresses the Odorant receptor (Or) 35a (FBgn0028946) and the co-receptor Ionotropic receptor (Ir) 76b (FBgn0036937). Its axon branches, with one branch innervating the ipsilateral antennal lobe glomerulus VC3 and the other fasciculating with the antennal commissure and innervating the contralateral antennal lobe glomerulus VC3 (Couto et al., 2005). Its dendrite transduces signals from antennal coeloconic sensillum ac3 (Benton et al., 2009).</t>
  </si>
  <si>
    <t>http://neuro.uni-konstanz.de/DoOR/content/receptor.php?OR=ac3B; Couto et al., 2005, Curr. Biol. 15(17): 1535--1547 (flybase.org/reports/FBrf0187305); Yao et al., 2005, J. Neurosci. 25(37): 8359--8367 (flybase.org/reports/FBrf0187906); Benton et al., 2009, Cell 136(1): 149--162 (flybase.org/reports/FBrf0206496)</t>
  </si>
  <si>
    <t>Johnston organ neuron a2</t>
  </si>
  <si>
    <t>JON-a2</t>
  </si>
  <si>
    <t>Neuron of the Johnston organ that has presynaptic termini in subregions AP and AV2 of AMMC zone A only.</t>
  </si>
  <si>
    <t>adult olfactory receptor neuron Ir75d ac4</t>
  </si>
  <si>
    <t>ORN Ir75d ac4; ionotropic receptor neuron Ir75d ac4; Ir75d ac4; ORN ac4Z; ORN ac4; ORN (VL1)</t>
  </si>
  <si>
    <t>Ipsilateral olfactory receptor neuron that expresses the ionotropic glutamate receptors (Ir) 75d (FBgn0036829) and the co-receptor Ir25a (FBgn0031634). It innervates the antennal lobe glomerulus VL1 (Silbering et al., 2011). Its dendrite transduces signals from the antennal coeloconic sensillum ac4. It is distinguishable from Ir75d ac1 and Ir75d ac2 by its odor response profile (Benton et al., 2009).</t>
  </si>
  <si>
    <t>photoreceptor cell R1</t>
  </si>
  <si>
    <t>lamina receptor cell R1; receptor cell R1</t>
  </si>
  <si>
    <t>Outer photoreceptor cell of the adult eye whose rhabdomere is located at the right angle vertex of the longer of the two parallel sides of the trapezoid of rhabdomeres in each ommatidium. It has a single axon that projects along a single lamina optic cartridge (Fischbach and Dittrich, 1989; Wolff and Ready, 1993) within which it makes extensive presynaptic connections with the lamina monopolar cells L1-L3, lamina intrinsic (amacrine) cells and lamina wide-field neurons Lawf, before terminating in the proximal lamina. It also establishes connections with epithelial, marginal and surface glial cells. The photoreceptor R1 receives input from L2, L4 (collaterals from adjacent columns) and Lawf (Rivera-Alba et al., 2011).</t>
  </si>
  <si>
    <t>Johnston organ neuron a3</t>
  </si>
  <si>
    <t>JON-a3</t>
  </si>
  <si>
    <t>Neuron of the Johnston organ that has presynaptic termini in subregions AP and AV2 and AD of AMMC zone A only.</t>
  </si>
  <si>
    <t>adult olfactory receptor neuron Or33c/85e</t>
  </si>
  <si>
    <t>odorant receptor neuron Or33c; adult ORN Or33c/85e; adult ORN Or85e; odorant receptor neuron VC1; adult ORN Or33c; ORN (Or33c/85e); ORN pb2A; odorant receptor neuron Or85e</t>
  </si>
  <si>
    <t>Bilateral olfactory receptor neuron (ORN) that expresses Or33c (FBgn0026390) and Or85e (FBgn0026399). Its axon branches, with one branch innervating the ipsilateral antennal lobe glomerulus VC1 and the other fasciculating with the antennal commissure and innervating the contralateral antennal lobe glomerulus VC1. Its dendrite transduces signals from maxillary palp basiconic sensillum pb2.</t>
  </si>
  <si>
    <t>http://neuro.uni-konstanz.de/DoOR/content/receptor.php?OR=pb2A; Goldman et al., 2005, Neuron 45(5): 661--666 (flybase.org/reports/FBrf0184216); Couto et al., 2005, Curr. Biol. 15(17): 1535--1547 (flybase.org/reports/FBrf0187305)</t>
  </si>
  <si>
    <t>adult olfactory receptor neuron Ir31a</t>
  </si>
  <si>
    <t>ORN (VL2p); ionotropic receptor neuron Ir31a; ORN ac1; ORN Ir31a; ORN ac1Y; Ir31a ac1</t>
  </si>
  <si>
    <t>Bilateral olfactory receptor neuron that expresses the Ionotropic receptor (Ir) 31a (FBgn0051718) and the co-receptor Ir8a (FBgn0052704). Its axon branches, with one branch innervating the ipsilateral antennal lobe glomerulus VL2 posterior compartment and the other fasciculating with the antennal commissure and innervating the contralateral antennal lobe glomerulus VL2 posterior compartment (Silbering et al., 2011). Its dendrite transduces signals from the antennal coeloconic sensillum ac1 (Benton et al., 2009).</t>
  </si>
  <si>
    <t>http://neuro.uni-konstanz.de/DoOR/content/receptor.php?OR=Ir31a; Benton et al., 2009, Cell 136(1): 149--162 (flybase.org/reports/FBrf0206496); Silbering et al., 2011, J. Neurosci. 31(38): 13357--13375 (flybase.org/reports/FBrf0215822)</t>
  </si>
  <si>
    <t>Johnston organ neuron c1</t>
  </si>
  <si>
    <t>JON-c1</t>
  </si>
  <si>
    <t>Neuron of the Johnston organ that has presynaptic termini in subregion CL of AMMC zone C only.</t>
  </si>
  <si>
    <t>adult olfactory receptor neuron Or69a</t>
  </si>
  <si>
    <t>ORN ab9X; adult ORN Or69a; odorant receptor neuron OR69a; odorant receptor neuron D; ORN (Or69aA/aB); ORN ab9A</t>
  </si>
  <si>
    <t>Bilateral olfactory receptor neuron (ORN) that expresses Or69a (FBgn0041622). It innervates antennal lobe glomerulus D in both antennal lobes: its axon branches, with one branch innervating the ipsilateral antennal lobe glomerulus D and the other fasciculating with the antennal commissure and innervating the contralateral antennal lobe glomerulus D. Its dendrite transduces signals from antennal basiconic sensillum ab9.</t>
  </si>
  <si>
    <t>http://neuro.uni-konstanz.de/DoOR/content/receptor.php?OR=Or69a; Couto et al., 2005, Curr. Biol. 15(17): 1535--1547 (flybase.org/reports/FBrf0187305)</t>
  </si>
  <si>
    <t>adult olfactory receptor neuron Ir75d ac1</t>
  </si>
  <si>
    <t>ionotropic receptor neuron Ir75d ac1; ORN Ir75d ac1; Ir75d ac1; ORN ac1; ORN ac1Z; ORN (VL1)</t>
  </si>
  <si>
    <t>Ipsilateral olfactory receptor neuron that expresses the Ionotropic receptor (Ir) 75d (FBgn0036829) and the co-receptor Ir25a (FBgn0031634). It innervates the antennal lobe glomerulus VL1 (Silbering et al., 2011). Its dendrite transduces signals from the antennal coeloconic sensillum ac1. It is distinguishable from IR75d ac2 and IR75d ac4 by its odor response profile (Benton et al., 2009).</t>
  </si>
  <si>
    <t>Johnston organ neuron c2</t>
  </si>
  <si>
    <t>JON-c2</t>
  </si>
  <si>
    <t>Neuron of the Johnston organ that has presynaptic termini in subregions CL and CM of AMMC zone C only.</t>
  </si>
  <si>
    <t>adult olfactory receptor neuron Or23a</t>
  </si>
  <si>
    <t>ORN at2B; ORN at2A; odorant receptor neuron DA3; ORN ai2b; odorant receptor neuron Or23a; adult ORN Or23a; ORN (Or23a)</t>
  </si>
  <si>
    <t>Bilateral olfactory receptor neuron (ORN) that expresses Or23a (FBgn0026395). Its axon branches, with one branch innervating the ipsilateral antennal lobe glomerulus DA3 and the other fasciculating with the antennal commissure and innervating the contralateral antennal lobe glomerulus DA3. Its dendrite transduces signals from antennal intermediate sensillum ai2.</t>
  </si>
  <si>
    <t>http://neuro.uni-konstanz.de/DoOR/content/receptor.php?OR=Or23a; Couto et al., 2005, Curr. Biol. 15(17): 1535--1547 (flybase.org/reports/FBrf0187305); Ronderos et al., 2014, J. Neurosci. 34(11): 3959--3968 (flybase.org/reports/FBrf0224383); Lin and Potter, 2015, PLoS ONE 10(10): e0139675 (flybase.org/reports/FBrf0229748)</t>
  </si>
  <si>
    <t>adult olfactory receptor neuron Ir76b/92a</t>
  </si>
  <si>
    <t>ORN ac1X; ionotropic receptor neuron Ir92a; ORN Ir92a; ORN ac1; Ir92a ac1; ORN (VM1)</t>
  </si>
  <si>
    <t>Bilateral olfactory receptor neuron that expresses the Ionotropic receptor (Ir) 92a (FBgn0038789) and the co-receptors Ir25a (FBgn0031634) and Ir76b (FBgn0036937). Its axon branches, with one branch innervating the ipsilateral antennal lobe glomerulus VM1 and the other fasciculating with the antennal commissure and innervating the contralateral antennal lobe glomerulus VM1 compartment (Silbering et al., 2011). Its dendrite transduces signals from the antennal coeloconic sensillum ac1 (Benton et al., 2009).</t>
  </si>
  <si>
    <t>http://neuro.uni-konstanz.de/DoOR/content/receptor.php?OR=Ir92a; Benton et al., 2009, Cell 136(1): 149--162 (flybase.org/reports/FBrf0206496); Silbering et al., 2011, J. Neurosci. 31(38): 13357--13375 (flybase.org/reports/FBrf0215822)</t>
  </si>
  <si>
    <t>Johnston organ neuron d1</t>
  </si>
  <si>
    <t>JON-d1</t>
  </si>
  <si>
    <t>Neuron of the Johnston organ that has presynaptic termini in subregion DP of AMMC zone D only.</t>
  </si>
  <si>
    <t>Johnston organ neuron e3</t>
  </si>
  <si>
    <t>JON-e3</t>
  </si>
  <si>
    <t>Neuron of the Johnston organ that has presynaptic termini in subregion EVM of AMMC zone E only.</t>
  </si>
  <si>
    <t>photoreceptor cell R4</t>
  </si>
  <si>
    <t>receptor cell R4; lamina receptor cell R4</t>
  </si>
  <si>
    <t>Outer photoreceptor cell of the adult eye whose rhabdomere is located in the middle of the longer of the two non-parallel sides of trapezoid of rhabdomeres in each ommatidium, in between the rhabdomeres of R3 and R5. It has a single axon that projects along a single lamina optic cartridge (Fischbach and Dittrich, 1989; Wolff and Ready, 1993) within which it makes extensive presynaptic connections with the lamina monopolar cells L1-L3, lamina intrinsic (amacrine) cells and columnar neuron T1, before terminating in the proximal lamina. It also establishes connections with epithelial glial cells. The photoreceptor R4 receives input from L4 (collaterals from adjacent columns) and lamina intrinsic (amacrine) cells (Rivera-Alba et al., 2011).</t>
  </si>
  <si>
    <t>Johnston organ neuron e1</t>
  </si>
  <si>
    <t>JON-e1</t>
  </si>
  <si>
    <t>Neuron of the Johnston organ that has presynaptic termini in subregions EVM and EDM of AMMC zone E only.</t>
  </si>
  <si>
    <t>Johnston organ neuron e4</t>
  </si>
  <si>
    <t>JON-e4</t>
  </si>
  <si>
    <t>Neuron of the Johnston organ that has presynaptic termini in subregions EDM and EDP of AMMC zone E only.</t>
  </si>
  <si>
    <t>Johnston organ neuron e2</t>
  </si>
  <si>
    <t>JON-e2</t>
  </si>
  <si>
    <t>Neuron of the Johnston organ that has presynaptic termini in subregions EVM, EDM, EDP and EDC (ipsilateral) of AMMC zone E only.</t>
  </si>
  <si>
    <t>photoreceptor cell R3</t>
  </si>
  <si>
    <t>lamina receptor cell R3; receptor cell R3</t>
  </si>
  <si>
    <t>Outer photoreceptor cell of the adult eye whose rhabdomere is located at the non-right angled vertex of the longer of two parallel sides of the trapezoid of rhabdomeres in each ommatidium. It has a single axon that projects along a single lamina optic cartridge (Fischbach and Dittrich, 1989; Wolff and Ready, 1993) within which it makes extensive presynaptic connections with the lamina monopolar cells L1-L3, lamina intrinsic (amacrine) cells, columnar neuron T1 and centrifugal neuron C3, before terminating in the proximal lamina. It also establishes connections with epithelial glial cells. The photoreceptor R3 receives input from L4 (collaterals from adjacent columns), centrifugal neuron C3 and lamina wide-field neurons Lawf (Rivera-Alba et al., 2011).</t>
  </si>
  <si>
    <t>dorsal cibarial sense organ neuron of anterior sensillum</t>
  </si>
  <si>
    <t>Gustatory receptor neuron that innervates the anterior sensillum of the dorsal cibarial sense organ of the adult pharynx. There are three of these per sensillum.</t>
  </si>
  <si>
    <t>Gendre et al., 2004, Development 131(1): 83--92 (flybase.org/reports/FBrf0167539)</t>
  </si>
  <si>
    <t>dorsal cibarial sense organ neuron of posterior sensillum</t>
  </si>
  <si>
    <t>Gustatory receptor neuron that innervates the posterior sensillum of the dorsal cibarial sense organ of the adult pharynx. There are three of these per sensillum.</t>
  </si>
  <si>
    <t>adult olfactory receptor neuron Or85b/98b</t>
  </si>
  <si>
    <t>odorant receptor neuron Or98b; adult ORN Or98b; ORN ab3B; odorant receptor neuron VM5d; odorant receptor neuron Or85b; ORN (Or85b); adult ORN Or85b</t>
  </si>
  <si>
    <t>Bilateral olfactory receptor neuron (ORN) that expresses Or85b (FBgn0037590) and Or98b (FBgn0039582). Its axon branches, with one branch innervating the ipsilateral antennal lobe glomerulus VM5d, and the other fasciculating with the antennal commissure and innervating the contralateral antennal lobe glomerulus VM5d. Its dendrite transduces signals from antennal basiconic sensillum ab3.</t>
  </si>
  <si>
    <t>http://neuro.uni-konstanz.de/DoOR/content/receptor.php?OR=ab3B; Hallem et al., 2004, Cell 117(7): 965--979 (flybase.org/reports/FBrf0179238); Couto et al., 2005, Curr. Biol. 15(17): 1535--1547 (flybase.org/reports/FBrf0187305)</t>
  </si>
  <si>
    <t>zone C/E Johnston organ neuron</t>
  </si>
  <si>
    <t>aJO', "antennal grooming Johnston's organ neuron", 'zone C/E JON</t>
  </si>
  <si>
    <t>Johnston's organ neuron that innervates zones C and E of the antennal mechanosensory and motor center (AMMC) (Kamikouchi et al., 2006). Some of these respond to antennal displacements to initiate grooming (Hampel et al., 2015).</t>
  </si>
  <si>
    <t>Kamikouchi et al., 2006, J. Comp. Neurol. 499(3): 317--356 (flybase.org/reports/FBrf0194812); Hampel et al., 2015, eLife 4: e08758 (flybase.org/reports/FBrf0229838)</t>
  </si>
  <si>
    <t>ventral cibarial sense organ neuron of middle sensillum</t>
  </si>
  <si>
    <t>Gustatory receptor neuron that innervates the middle sensillum of the ventral cibarial sense organ of the adult pharynx. There are two of these per sensillum.</t>
  </si>
  <si>
    <t>Stocker, 1994, Cell Tissue Res. 275(1): 3--26 (flybase.org/reports/FBrf0068700); Nayak and Singh, 1983, Int. J. Insect Morph. Embryol. 12(5--6): 273--291 (flybase.org/reports/FBrf0074012); Gendre et al., 2004, Development 131(1): 83--92 (flybase.org/reports/FBrf0167539)</t>
  </si>
  <si>
    <t>adult olfactory receptor neuron Or67c</t>
  </si>
  <si>
    <t>odorant receptor neuron Or67c; ORN ab7B; ORN (Or67c); adult ORN Or67c; odorant receptor neuron VC4</t>
  </si>
  <si>
    <t>Bilateral olfactory receptor neuron (ORN) that expresses Or67c (FBgn0036078). Its axon branches, with one branch innervating the ipsilateral antennal lobe glomerulus VC4 and the other fasciculating with the antennal commissure and innervating the contralateral antennal lobe glomerulus VC4. Its dendrite transduces signals from antennal basiconic sensillum ab7.</t>
  </si>
  <si>
    <t>http://neuro.uni-konstanz.de/DoOR/content/receptor.php?OR=Or67c; Hallem et al., 2004, Cell 117(7): 965--979 (flybase.org/reports/FBrf0179238); Couto et al., 2005, Curr. Biol. 15(17): 1535--1547 (flybase.org/reports/FBrf0187305)</t>
  </si>
  <si>
    <t>adult olfactory receptor neuron Or22</t>
  </si>
  <si>
    <t>adult ORN Or22b; odorant receptor neuron Or22a; adult ORN Or22a; ORN (Or22a/b); ORN ab3A; odorant receptor neuron DM2; adult ORN Or22; odorant receptor neuron Or22b</t>
  </si>
  <si>
    <t>Bilateral olfactory receptor neuron (ORN) that expresses Or22a (FBgn0026398) and Or22b (FBgn0026397). Its axon branches, with one branch innervating the ipsilateral antennal lobe glomerulus DM2 and the other fasciculating with the antennal commissure and innervating the contralateral antennal lobe glomerulus DM2. Its dendrite transduces signals from antennal basiconic sensillum ab3.</t>
  </si>
  <si>
    <t>http://neuro.uni-konstanz.de/DoOR/content/receptor.php?OR=Or22a; http://neuro.uni-konstanz.de/DoOR/content/receptor.php?OR=Or22b; Dobritsa et al., 2003, Neuron 37(5): 827--841 (flybase.org/reports/FBrf0159257); Couto et al., 2005, Curr. Biol. 15(17): 1535--1547 (flybase.org/reports/FBrf0187305)</t>
  </si>
  <si>
    <t>adult olfactory receptor neuron Or67b</t>
  </si>
  <si>
    <t>adult ORN Or67b; ORN ab9Y; ORN (Or67b); odorant receptor neuron VA3; ORN ab9B; odorant receptor neuron Or67b</t>
  </si>
  <si>
    <t>Bilateral olfactory receptor neuron (ORN) that expresses Or67b (FBgn0036019). Its axon branches, with one branch innervating the ipsilateral antennal lobe glomerulus VA3 and the other fasciculating with the antennal commissure and innervating the contralateral antennal lobe glomerulus VA3. Its dendrite transduces signals from antennal basiconic sensillum ab9.</t>
  </si>
  <si>
    <t>http://neuro.uni-konstanz.de/DoOR/content/receptor.php?OR=Or67b; Couto et al., 2005, Curr. Biol. 15(17): 1535--1547 (flybase.org/reports/FBrf0187305)</t>
  </si>
  <si>
    <t>adult olfactory receptor neuron Or67a</t>
  </si>
  <si>
    <t>ORN Ab10B; ORN ab10A; odorant receptor neuron Or67a; ORN (Or67a); odorant receptor neuron DM6; adult ORN Or67a</t>
  </si>
  <si>
    <t>Bilateral olfactory receptor neuron (ORN) that expresses Or67a (FBgn0036009). Its axon branches, with one branch innervating the ipsilateral antennal lobe glomerulus DM6 and the other fasciculating with the antennal commissure and innervating the contralateral antennal lobe glomerulus DM6. Its dendrite transduces signals from antennal basiconic sensillum ab10.</t>
  </si>
  <si>
    <t>http://neuro.uni-konstanz.de/DoOR/content/receptor.php?OR=Or67a; Hallem et al., 2004, Cell 117(7): 965--979 (flybase.org/reports/FBrf0179238); Couto et al., 2005, Curr. Biol. 15(17): 1535--1547 (flybase.org/reports/FBrf0187305)</t>
  </si>
  <si>
    <t>ventral cibarial sense organ neuron of distal sensillum</t>
  </si>
  <si>
    <t>Gustatory receptor neuron that innervates the distal sensillum of the ventral cibarial sense organ of the adult pharynx. There are four of these per sensillum.</t>
  </si>
  <si>
    <t>adult olfactory receptor neuron Or19</t>
  </si>
  <si>
    <t>odorant receptor neuron DC1; ORN at3A; adult ORN Or19; odorant receptor neuron Or19; ORN ai2A; ORN ai3a; ORN at3B; ORN (Or19a/b)</t>
  </si>
  <si>
    <t>Bilateral olfactory receptor neuron (ORN) that expresses Or19a (FBgn0041626), Or19b (FBgn0062565). Its axon branches, with one branch innervating the ipsilateral antennal lobe glomerulus DC1 and the other fasciculating with the antennal commissure and innervating the contralateral antennal lobe glomerulus DC1. Its dendrite transduces signals from antennal intermediate sensillum ai3.</t>
  </si>
  <si>
    <t>http://neuro.uni-konstanz.de/DoOR/content/receptor.php?OR=Or19a; http://neuro.uni-konstanz.de/DoOR/content/receptor.php?OR=Or19b; Couto et al., 2005, Curr. Biol. 15(17): 1535--1547 (flybase.org/reports/FBrf0187305); Ronderos et al., 2014, J. Neurosci. 34(11): 3959--3968 (flybase.org/reports/FBrf0224383); Lin and Potter, 2015, PLoS ONE 10(10): e0139675 (flybase.org/reports/FBrf0229748)</t>
  </si>
  <si>
    <t>Johnston organ neuron a1</t>
  </si>
  <si>
    <t>JON-a1</t>
  </si>
  <si>
    <t>Neuron of the Johnston organ that has presynaptic termini in subregion AA of AMMC zone A only.</t>
  </si>
  <si>
    <t>adult olfactory receptor neuron Or13a</t>
  </si>
  <si>
    <t>ORN (Or13a); ORN ab6A; odorant receptor neuron Or13a; adult ORN Or13a; odorant receptor neuron DC2; ORN ai1B</t>
  </si>
  <si>
    <t>Bilateral olfactory receptor neuron (ORN) that expresses Or13a (FBgn0030715). Its axon branches, with one branch innervating the ipsilateral antennal lobe glomerulus DC2 and the other fasciculating with the antennal commissure and innervating the contralateral antennal lobe glomerulus DC2. Its dendrite transduces signals from antennal basiconica sensillum ab6.</t>
  </si>
  <si>
    <t>http://neuro.uni-konstanz.de/DoOR/content/receptor.php?OR=Or13a; Couto et al., 2005, Curr. Biol. 15(17): 1535--1547 (flybase.org/reports/FBrf0187305); Endo et al., 2011, Nat. Neurosci. 15(2): 224--233 (flybase.org/reports/FBrf0217319)</t>
  </si>
  <si>
    <t>prothoracic leg taste bristle segmental tarsal chemosensory neuron</t>
  </si>
  <si>
    <t>prothoracic stGRN</t>
  </si>
  <si>
    <t>Segmental tarsal chemosensory neuron of the adult that innervates a prothoracic leg tarsal taste bristle, projects to the ventral part of the ipsilateral prothoracic leg neuropil, and does not ascend to the brain (Kwon et al., 2014, Thoma et al., 2016, Tsubouchi et al., 2017).</t>
  </si>
  <si>
    <t>mesothoracic leg taste bristle ascending tarsal chemosensory neuron</t>
  </si>
  <si>
    <t>mesothoracic atGRN</t>
  </si>
  <si>
    <t>Ascending tarsal chemosensory neuron of the adult that innervates a mesothoracic leg tarsal taste bristle (Kwon et al., 2014, Thoma et al., 2016, Tsubouchi et al., 2017).</t>
  </si>
  <si>
    <t>prothoracic leg taste bristle ascending tarsal chemosensory neuron</t>
  </si>
  <si>
    <t>prothoracic atGRN</t>
  </si>
  <si>
    <t>Ascending tarsal chemosensory neuron of the adult that innervates a prothoracic leg tarsal taste bristle (Kwon et al., 2014, Thoma et al., 2016, Tsubouchi et al., 2017).</t>
  </si>
  <si>
    <t>metathoracic leg taste bristle segmental tarsal chemosensory neuron</t>
  </si>
  <si>
    <t>metathoracic stGRN</t>
  </si>
  <si>
    <t>Segmental tarsal chemosensory neuron of the adult that innervates a metathoracic leg tarsal taste bristle, projects to the ventral part of the ipsilateral metathoracic leg neuropil, and does not ascend to the brain (Kwon et al., 2014, Thoma et al., 2016, Tsubouchi et al., 2017).</t>
  </si>
  <si>
    <t>mesothoracic leg taste bristle segmental tarsal chemosensory neuron</t>
  </si>
  <si>
    <t>mesothoracic stGRN</t>
  </si>
  <si>
    <t>Segmental tarsal chemosensory neuron of the adult that innervates a mesothoracic leg tarsal taste bristle, projects to the ventral part of the ipsilateral mesothoracic leg neuropil, and does not ascend to the brain (Kwon et al., 2014, Thoma et al., 2016, Tsubouchi et al., 2017).</t>
  </si>
  <si>
    <t>metathoracic leg taste bristle ascending tarsal chemosensory neuron</t>
  </si>
  <si>
    <t>metathoracic atGRN</t>
  </si>
  <si>
    <t>Ascending tarsal chemosensory neuron of the adult that innervates a metathoracic leg tarsal taste bristle (Kwon et al., 2014, Thoma et al., 2016, Tsubouchi et al., 2017).</t>
  </si>
  <si>
    <t>adult olfactory receptor neuron Or88a</t>
  </si>
  <si>
    <t>adult ORN Or88a; ORN at3c; odorant receptor neuron VA1d; ORN at4X; odorant receptor neuron Or88a; ORN (Or88a); ORN at4C</t>
  </si>
  <si>
    <t>Bilateral olfactory receptor neuron (ORN) that expresses Or88a (FBgn0038203). Its axon branches, with one branch innervating the ipsilateral antennal lobe glomerulus VA1d and the other fasciculating with the antennal commissure and innervating the contralateral antennal lobe glomerulus VA1d. Its dendrite transduces signals from antennal trichoid sensillum at4.</t>
  </si>
  <si>
    <t>http://neuro.uni-konstanz.de/DoOR/content/receptor.php?OR=Or88a; Couto et al., 2005, Curr. Biol. 15(17): 1535--1547 (flybase.org/reports/FBrf0187305)</t>
  </si>
  <si>
    <t>sound activated Johnston organ neuron</t>
  </si>
  <si>
    <t>Johnston organ neuron phasically activated by arista deflection', "sound activated Johnston's organ neuron", 'class iv, v, vi, vii, viii, ix and x Johnston organ neuron (JON)', "Johnston's organ neuron phasically activated by arista deflection", 'vibration sensitive JON</t>
  </si>
  <si>
    <t>Johnston organ neuron (JON) that is activated by near-field sound ranging from 4 Hz to 952 Hz, maximally at 90dB (Kamikouchi et al., 2009; Yorozu et al., 2009; Patella and Wilson, 2018). These neurons are transiently (phasically) activated by the onset and offset of arista displacement. Cells preferentially activated by low-frequency vibration are loosely distributed as a ring in the middle layer of JON cell bodies. Higher frequencies preferentially activate JON neurons with cell bodies located mainly in the inner layer, directly surrounding the antennal nerve (Kamikouchi et al., 2006), and lateral axons (Patella and Wilson, 2018).</t>
  </si>
  <si>
    <t>Kamikouchi et al., 2006, J. Comp. Neurol. 499(3): 317--356 (flybase.org/reports/FBrf0194812); Kamikouchi et al., 2009, Nature 458(7235): 165--171 (flybase.org/reports/FBrf0207518); Yorozu et al., 2009, Nature 458(7235): 201--205 (flybase.org/reports/FBrf0207559); Patella and Wilson, 2018, Curr. Biol. 28(8): 1189--1203.e5 (flybase.org/reports/FBrf0238696)</t>
  </si>
  <si>
    <t>adult olfactory receptor neuron Or47b</t>
  </si>
  <si>
    <t>ORN at4Z; odorant receptor neuron Or47b; odorant receptor neuron VA1v; adult ORN Or47b; ORN at4A; ORN (Or47b); ORN at3a</t>
  </si>
  <si>
    <t>Bilateral olfactory receptor neuron (ORN) that expresses Or47b (FBgn0026385). Its axon branches, with one branch innervating the ipsilateral antennal lobe glomerulus VA1v and the other fasciculating with the antennal commissure and innervating the contralateral antennal lobe glomerulus VA1v. Its dendrite transduces signals from antennal trichoid sensillum at4.</t>
  </si>
  <si>
    <t>http://neuro.uni-konstanz.de/DoOR/content/receptor.php?OR=Or47b; Hallem et al., 2004, Cell 117(7): 965--979 (flybase.org/reports/FBrf0179238); Couto et al., 2005, Curr. Biol. 15(17): 1535--1547 (flybase.org/reports/FBrf0187305)</t>
  </si>
  <si>
    <t>adult olfactory receptor neuron Or49a/85f</t>
  </si>
  <si>
    <t>ORN ab10B; ORN (Or49a/85f); ORN Ab10A; adult ORN Or49a/85f; ORN ab10A; adult ORN Or85f/49a; adult olfactory receptor neuron Or85f; odorant receptor neuron Or85f; odorant receptor neuron Or49a; odorant receptor neuron DL4; adult olfactory receptor neuron Or49a</t>
  </si>
  <si>
    <t>Bilateral olfactory receptor neuron (ORN) that expresses Or49a (FBgn0033727) and Or85f (FBgn0037685). Its axon branches, with one branch innervating the ipsilateral antennal lobe glomerulus DL4 and the other fasciculating with the antennal commissure and innervating the contralateral antennal lobe glomerulus DL4. Its dendrite transduces signals from basiconic sensillum ab10.</t>
  </si>
  <si>
    <t>http://neuro.uni-konstanz.de/DoOR/content/receptor.php?OR=Or49a; http://neuro.uni-konstanz.de/DoOR/content/receptor.php?OR=Or85f; Hallem et al., 2004, Cell 117(7): 965--979 (flybase.org/reports/FBrf0179238); Couto et al., 2005, Curr. Biol. 15(17): 1535--1547 (flybase.org/reports/FBrf0187305)</t>
  </si>
  <si>
    <t>adult olfactory receptor neuron Or47a</t>
  </si>
  <si>
    <t>odorant receptor neuron Or47a; adult ORN Or47a; odorant receptor neuron DM3; ORN ab5B; ORN (Or47a)</t>
  </si>
  <si>
    <t>Bilateral olfactory receptor neuron (ORN) that expresses Or47a (FBgn0026386) and Or33b (FBgn0026391). Its axon branches, with one branch innervating the ipsilateral antennal lobe glomerulus DM3 and the other fasciculating with the antennal commissure and innervating the contralateral antennal lobe glomerulus DM3. Its dendrite transduces signals from basiconic sensillum ab5.</t>
  </si>
  <si>
    <t>http://neuro.uni-konstanz.de/DoOR/content/receptor.php?OR=Or33b; http://neuro.uni-konstanz.de/DoOR/content/receptor.php?OR=Or47a; Hallem et al., 2004, Cell 117(7): 965--979 (flybase.org/reports/FBrf0179238); Couto et al., 2005, Curr. Biol. 15(17): 1535--1547 (flybase.org/reports/FBrf0187305)</t>
  </si>
  <si>
    <t>adult olfactory receptor neuron Or46a</t>
  </si>
  <si>
    <t>ORN pb2B; adult ORN Or46a; odorant receptor neuron VA7l; ORN (Or46aA); odorant receptor neuron Or46a</t>
  </si>
  <si>
    <t>Bilateral olfactory receptor neuron (ORN) that expresses Or46a (FBgn0026388). Its axon branches, with one branch innervating the ipsilateral antennal lobe glomerulus VA7l and the other fasciculating with the antennal commissure and innervating the contralateral antennal lobe glomerulus VA7 lateral compartment. Its dendrite transduces signals from maxillary palp basiconic sensillum pb2.</t>
  </si>
  <si>
    <t>http://neuro.uni-konstanz.de/DoOR/content/receptor.php?OR=Or46a; Goldman et al., 2005, Neuron 45(5): 661--666 (flybase.org/reports/FBrf0184216); Couto et al., 2005, Curr. Biol. 15(17): 1535--1547 (flybase.org/reports/FBrf0187305)</t>
  </si>
  <si>
    <t>bitter-sensing neuron of the leg</t>
  </si>
  <si>
    <t>category IIIS neuron</t>
  </si>
  <si>
    <t>Sensory neuron that responds to bitter stimuli and innervates a taste bristle in the leg. These are characterized by expression of gustatory receptors Gr33a, Gr39a.a, Gr58c and Gr89a (Ling et al., 2014).</t>
  </si>
  <si>
    <t>adult olfactory receptor neuron Or85d</t>
  </si>
  <si>
    <t>ORN pb3B; ORN (Or85d); odorant receptor neuron VA4; odorant receptor neuron Or85d; adult ORN Or85d</t>
  </si>
  <si>
    <t>Bilateral olfactory receptor neuron (ORN) that expresses Or85d (FBgn0037594). Its axon branches, with one branch innervating the ipsilateral antennal lobe glomerulus VA4 and the other fasciculating with the antennal commissure and innervating the contralateral antennal lobe glomerulus VA4. Its dendrite transduces signals from maxillary palp basiconic sensillum pb3.</t>
  </si>
  <si>
    <t>http://neuro.uni-konstanz.de/DoOR/content/receptor.php?OR=Or85d; Goldman et al., 2005, Neuron 45(5): 661--666 (flybase.org/reports/FBrf0184216); Couto et al., 2005, Curr. Biol. 15(17): 1535--1547 (flybase.org/reports/FBrf0187305)</t>
  </si>
  <si>
    <t>mechanosensory neuron of adult labral sensillum 1</t>
  </si>
  <si>
    <t>Mechanosensory neuron innervating the mechanosensory labral sensillum 1 of the adult labral sense organ (Nayak and Singh, 1983).</t>
  </si>
  <si>
    <t>mechanosensory neuron of adult labral sensillum 2</t>
  </si>
  <si>
    <t>Mechanosensory neuron innervating the mechanosensory labral sensillum 2 of the adult labral sense organ (Nayak and Singh, 1983).</t>
  </si>
  <si>
    <t>adult olfactory receptor neuron Or92a</t>
  </si>
  <si>
    <t>ORN (Or92a); odorant receptor neuron VA2; odorant receptor neuron Or92a; ORN ab1B; adult ORN Or92a</t>
  </si>
  <si>
    <t>Bilateral olfactory receptor neuron (ORN) that expresses Or92a (FBgn0038798). Its axon branches, with one branch innervating the ipsilateral antennal lobe glomerulus VA2 and the other fasciculating with the antennal commissure and innervating the contralateral antennal lobe glomerulus VA2. Its dendrite transduces signals from antennal basiconic sensillum ab1.</t>
  </si>
  <si>
    <t>http://neuro.uni-konstanz.de/DoOR/content/receptor.php?OR=Or92a; Couto et al., 2005, Curr. Biol. 15(17): 1535--1547 (flybase.org/reports/FBrf0187305)</t>
  </si>
  <si>
    <t>adult olfactory receptor neuron Or43b</t>
  </si>
  <si>
    <t>ORN (Or43b); odorant receptor neuron VM2; ORN ab8A; odorant receptor neuron Or43b; adult ORN Or43b</t>
  </si>
  <si>
    <t>Bilateral olfactory receptor neuron (ORN) that expresses Or43b (FBgn0026393). Its axon branches, with one branch innervating the ipsilateral antennal lobe glomerulus VM2 and the other fasciculating with the antennal commissure and innervating the contralateral antennal lobe glomerulus VM2. Its dendrite transduces signals from antennal basiconic sensillum ab8.</t>
  </si>
  <si>
    <t>http://neuro.uni-konstanz.de/DoOR/content/receptor.php?OR=Or43b; Hallem et al., 2004, Cell 117(7): 965--979 (flybase.org/reports/FBrf0179238); Couto et al., 2005, Curr. Biol. 15(17): 1535--1547 (flybase.org/reports/FBrf0187305)</t>
  </si>
  <si>
    <t>sugar-sensing neuron of mesothoracic leg tarsal taste bristle 4s</t>
  </si>
  <si>
    <t>Sensory neuron that has a dendrite in the mesothoracic leg tarsal taste bristle 4s and is capable of detecting sweet stimuli (Ling et al., 2014). It expresses Gr5a, Gr64c and Gr64e in addition to the core receptors expressed by sugar-sensing neurons of the leg and the sensillum it innervates can detect the sugars glucose, maltose and sucrose (Ling et al., 2014). It does not ascend to the brain (Kwon et al., 2014).</t>
  </si>
  <si>
    <t>Ling et al., 2014, J. Neurosci. 34(21): 7148--7164 (flybase.org/reports/FBrf0225125); Kwon et al., 2014, J. Biosci., Bangalore 39(4): 565--574 (flybase.org/reports/FBrf0225914)</t>
  </si>
  <si>
    <t>photoreceptor cell R5</t>
  </si>
  <si>
    <t>lamina receptor cell R5; receptor cell R5</t>
  </si>
  <si>
    <t>Outer photoreceptor cell of the adult eye whose rhabdomere is located at a non-right angle vertex of the shorter of the two parallel sides of the trapezoid of rhabdomeres in each ommatidium. It has a single axon that projects along a single lamina optic cartridge (Fischbach and Dittrich, 1989; Wolff and Ready, 1993) within which it makes extensive presynaptic connections with the lamina monopolar cells L1-L3, lamina intrinsic (amacrine) cells and centrifugal neuron C2, before terminating in the proximal lamina. It also establishes connections with epithelial and marginal glial cells. The photoreceptor R5 receives input from L4 (collaterals from the same and adjacent columns) and lamina intrinsic (amacrine) cells (Rivera-Alba et al., 2011).</t>
  </si>
  <si>
    <t>mechanosensory neuron of adult labral sensillum 4</t>
  </si>
  <si>
    <t>Mechanosensory neuron innervating the mechanosensory labral sensillum 4 of the adult labral sense organ (Nayak and Singh, 1983).</t>
  </si>
  <si>
    <t>Johnston organ neuron tonically activated by arista deflection</t>
  </si>
  <si>
    <t>["Johnston's organ neuron tonically activated by arista deflection"]</t>
  </si>
  <si>
    <t>Johnston organ neuron (JON) whose response is maintained so long as unidirectional aristal deflection is sustained. Their axons tend to be found medially within the JON bundle (Patella and Wilson, 2018).</t>
  </si>
  <si>
    <t>Kamikouchi et al., 2006, J. Comp. Neurol. 499(3): 317--356 (flybase.org/reports/FBrf0194812); Yorozu et al., 2009, Nature 458(7235): 201--205 (flybase.org/reports/FBrf0207559); Patella and Wilson, 2018, Curr. Biol. 28(8): 1189--1203.e5 (flybase.org/reports/FBrf0238696)</t>
  </si>
  <si>
    <t>adult olfactory receptor neuron Or82a</t>
  </si>
  <si>
    <t>ORN (Or82a); odorant receptor neuron Or82a; ORN ab5A; adult ORN Or82a; odorant receptor neuron VA6</t>
  </si>
  <si>
    <t>Bilateral olfactory receptor neuron (ORN) that expresses Or82a (FBgn0041621). Its axon branches, with one branch innervating the ipsilateral antennal lobe glomerulus VA6 and the other fasciculating with the antennal commissure and innervating the contralateral antennal lobe glomerulus VA6. Its dendrite transduces signals from antennal basiconic sensillum ab5.</t>
  </si>
  <si>
    <t>http://neuro.uni-konstanz.de/DoOR/content/receptor.php?OR=Or82a; Hallem et al., 2004, Cell 117(7): 965--979 (flybase.org/reports/FBrf0179238); Couto et al., 2005, Curr. Biol. 15(17): 1535--1547 (flybase.org/reports/FBrf0187305)</t>
  </si>
  <si>
    <t>mechanosensory neuron of adult labral sensillum 3</t>
  </si>
  <si>
    <t>Mechanosensory neuron innervating the mechanosensory labral sensillum 3 of the adult labral sense organ (Nayak and Singh, 1983).</t>
  </si>
  <si>
    <t>mechanosensory neuron of adult labral sensillum 6</t>
  </si>
  <si>
    <t>Mechanosensory neuron innervating the mechanosensory labral sensillum 6 of the adult labral sense organ (Nayak and Singh, 1983).</t>
  </si>
  <si>
    <t>adult olfactory receptor neuron Or42a</t>
  </si>
  <si>
    <t>ORN (Or42a); odorant receptor neuron VM7; odorant receptor neuron Or42a; adult ORN Or42a; ORN pb1A</t>
  </si>
  <si>
    <t>Bilateral olfactory receptor neuron (ORN) that expresses Or42a (FBgn0033041). Its axon branches, with one branch innervating the ipsilateral antennal lobe glomerulus VM7 dorsal compartment and the other fasciculating with the antennal commissure and innervating the contralateral antennal lobe glomerulus VM7 dorsal compartment. Its dendrite transduces signals from maxillary palp basiconic sensillum pb1 (Couto et al., 2005; Endo et al., 2007).</t>
  </si>
  <si>
    <t>http://neuro.uni-konstanz.de/DoOR/content/receptor.php?OR=Or42a; Goldman et al., 2005, Neuron 45(5): 661--666 (flybase.org/reports/FBrf0184216); Couto et al., 2005, Curr. Biol. 15(17): 1535--1547 (flybase.org/reports/FBrf0187305); Endo et al., 2007, Nat. Neurosci. 10(2): 153--160 (flybase.org/reports/FBrf0192533)</t>
  </si>
  <si>
    <t>mechanosensory neuron of adult labral sensillum 5</t>
  </si>
  <si>
    <t>Mechanosensory neuron innervating the mechanosensory labral sensillum 5 of the adult labral sense organ (Nayak and Singh, 1983).</t>
  </si>
  <si>
    <t>chemosensory neuron of adult labral sensillum 8</t>
  </si>
  <si>
    <t>chemosensory neuron of adult labial sensillum 8</t>
  </si>
  <si>
    <t>Chemosensory neuron innervating the mechano-chemo-sensory labral sensillum 8 of the adult labral sense organ (Nayak and Singh, 1983).</t>
  </si>
  <si>
    <t>sugar-sensing neuron of prothoracic leg tarsal taste bristle 5s</t>
  </si>
  <si>
    <t>Sensory neuron that has a dendrite in the prothoracic leg tarsal taste bristle 5s and is capable of detecting sweet stimuli (Ling et al., 2014). It expresses Gr5a and Gr64e in addition to the core receptors expressed by sugar-sensing neurons of the leg and the sensillum it innervates can detect the sugars fructose, glucose, maltose, maltotriose, palatinose, sucrose and trehalose (Ling et al., 2014). It does not ascend to the brain (Kwon et al., 2014).</t>
  </si>
  <si>
    <t>adult olfactory receptor neuron Or71a</t>
  </si>
  <si>
    <t>odorant receptor neuron Or71a; ORN pb1B; odorant receptor neuron VC2; adult ORN Or71a; ORN (Or71a)</t>
  </si>
  <si>
    <t>Bilateral olfactory receptor neuron (ORN) that expresses Or71a (FBgn0036474). Its axon branches, with one branch innervating the ipsilateral antennal lobe glomerulus VC2 and the other fasciculating with the antennal commissure and innervating the contralateral antennal lobe glomerulus VC2. Its dendrite transduces signals from maxillary palp basiconic sensillum pb1.</t>
  </si>
  <si>
    <t>http://neuro.uni-konstanz.de/DoOR/content/receptor.php?OR=Or71a; Goldman et al., 2005, Neuron 45(5): 661--666 (flybase.org/reports/FBrf0184216); Couto et al., 2005, Curr. Biol. 15(17): 1535--1547 (flybase.org/reports/FBrf0187305)</t>
  </si>
  <si>
    <t>dorsal margin photoreceptor cell R8</t>
  </si>
  <si>
    <t>Any photoreceptor cell R8 (FBbt:00004227) that is part of some dorsal margin ommatidium (FBbt:02000000).</t>
  </si>
  <si>
    <t>mechanosensory neuron of adult labral sensillum 9</t>
  </si>
  <si>
    <t>mechanosensory neuron of adult labial sensillum 9</t>
  </si>
  <si>
    <t>Mechanosensory neuron innervating the mechano-chemo-sensory labral sensillum 9 of the adult labral sense organ (Nayak and Singh, 1983).</t>
  </si>
  <si>
    <t>sugar-sensing neuron of prothoracic leg tarsal taste bristle 5v</t>
  </si>
  <si>
    <t>Sensory neuron that has a dendrite in the prothoracic leg tarsal taste bristle 5v and is capable of detecting sweet stimuli (Ling et al., 2014). It expresses Gr43a, Gr64c and Gr64e in addition to the core receptors expressed by sugar-sensing neurons of the leg and the sensillum it innervates can detect the sugars fructose, glucose, maltose and sucrose (Ling et al., 2014).</t>
  </si>
  <si>
    <t>chemosensory neuron of adult labral sensillum 9</t>
  </si>
  <si>
    <t>chemosensory neuron of adult labial sensillum 9</t>
  </si>
  <si>
    <t>Chemosensory neuron innervating the mechano-chemo-sensory labral sensillum 9 of the adult labral sense organ (Nayak and Singh, 1983).</t>
  </si>
  <si>
    <t>mechanosensory neuron of adult labral sensillum 8</t>
  </si>
  <si>
    <t>mechanosensory neuron of adult labial sensillum 8</t>
  </si>
  <si>
    <t>Mechanosensory neuron innervating the mechano-chemo-sensory labral sensillum 8 of the adult labral sense organ (Nayak and Singh, 1983).</t>
  </si>
  <si>
    <t>chemosensory neuron of adult labral sensillum 7</t>
  </si>
  <si>
    <t>chemosensory neuron of adult labial sensillum 7</t>
  </si>
  <si>
    <t>Chemosensory neuron that innervates chemosensory labral sensillum 7 of the adult labral sense organ. There are eight of these cells.</t>
  </si>
  <si>
    <t>photoreceptor cell R8</t>
  </si>
  <si>
    <t>lamina receptor cell R8; receptor cell R8</t>
  </si>
  <si>
    <t>Inner photoreceptor cell of the ommatidium whose centrally located rhabdomere extends across the proximal third (approximately) of each ommatidium. Each has a single axon that extends through a single lamina optic cartridge (FBbt:00003747) without making synapses. This axon crosses the first optic chiasm and enters the equivalent column of the medulla, making presynaptic contacts in M1-3 and terminating in M3. Presynaptic contacts in M1 are mainly to lamina monopolar neurons L1 and L5 (Takemura et al., 2008). Other presynaptic contacts are to Tm9 (Gao et al., 2008), medullary intrinsic neuron Mi1, Mi4 and Mi15 (Takemura et al., 2013) and to Tm5c in M3 (Karuppudurai et al., 2014). Presynaptic contacts to photoreceptor R7 are more distal - concentrated in M3 (Takemura et al., 2008).</t>
  </si>
  <si>
    <t>Fischbach and Dittrich, 1989, Cell Tissue Res. 258(3): 441--475 (flybase.org/reports/FBrf0049410); Wolff and Ready, 1993, Bate, Martinez Arias, 1993: 1277--1325 (flybase.org/reports/FBrf0064798); Takemura et al., 2008, J. Comp. Neurol. 509(5): 493--513 (flybase.org/reports/FBrf0205531); Gao et al., 2008, Neuron 60(2): 328--342 (flybase.org/reports/FBrf0206213); Takemura et al., 2013, Nature 500(7461): 175--181 (flybase.org/reports/FBrf0222324); Karuppudurai et al., 2014, Neuron 81(3): 603--615 (flybase.org/reports/FBrf0224070)</t>
  </si>
  <si>
    <t>photoreceptor cell R7</t>
  </si>
  <si>
    <t>lamina receptor cell R7; receptor cell R7</t>
  </si>
  <si>
    <t>Inner photoreceptor cell of the ommatidium whose centrally located rhabdomere extends across the distal two thirds (approximately) of each ommatidium. Each has a single axon that extends through a single lamina optic cartridge without making synapses. This axon crosses the first optic chiasm and extends through a single column of the medulla where it makes pre-synaptic contacts, mainly with medulla layers M1 and M5 (Takemura et al., 2008) before terminating in M6. It also receives synaptic input from photoreceptor cell R8 (Takemura et al., 2008, 2013), mostly in M3, and is presynaptic to Dm8a (in M6). Its subtype, photoreceptor cell R7 of yellow ommatidium is also presynaptic to Tm5a (yellow ommatidium) and Tm5b (Gao et al., 2008; Karuppudurai et al., 2014).</t>
  </si>
  <si>
    <t>adult olfactory receptor neuron Or85a</t>
  </si>
  <si>
    <t>odorant receptor neuron Or85a/33b; adult ORN Or85a; adult ORN Or85a/33b; ORN (Or85a); odorant receptor neuron DM5; ORN ab2B</t>
  </si>
  <si>
    <t>Bilateral olfactory receptor neuron (ORN) that expresses Or85a (FBgn0037576) and Or33b (FBgn0026391). Its axon branches, with one branch innervating the ipsilateral antennal lobe glomerulus DM5 and the other fasciculating with the antennal commissure and innervating the contralateral antennal lobe glomerulus DM5. Its dendrite transduces signals from antennal basiconic sensillum ab2.</t>
  </si>
  <si>
    <t>http://neuro.uni-konstanz.de/DoOR/content/receptor.php?OR=ab2B; Couto et al., 2005, Curr. Biol. 15(17): 1535--1547 (flybase.org/reports/FBrf0187305); Fishilevich and Vosshall, 2005, Curr. Biol. 15(17): 1548--1553 (flybase.org/reports/FBrf0187306)</t>
  </si>
  <si>
    <t>adult olfactory receptor neuron Or43a</t>
  </si>
  <si>
    <t>ORN at3C; adult ORN Or43a; odorant receptor neuron Or43a; ORN ai3c; ORN at3Y; ORN (Or43a); odorant receptor neuron DA4l; ORN ai2</t>
  </si>
  <si>
    <t>Bilateral olfactory receptor neuron (ORN) that expresses Or43a (FBgn0026389). Its axon branches, with one branch innervating the ipsilateral antennal lobe glomerulus DA4l and the other fasciculating with the antennal commissure and innervating the contralateral antennal lobe glomerulus DA4l. Its dendrite transduces signals from antennal intermediate sensillum ai3.</t>
  </si>
  <si>
    <t>http://neuro.uni-konstanz.de/DoOR/content/receptor.php?OR=Or43a; Couto et al., 2005, Curr. Biol. 15(17): 1535--1547 (flybase.org/reports/FBrf0187305); Ronderos et al., 2014, J. Neurosci. 34(11): 3959--3968 (flybase.org/reports/FBrf0224383); Lin and Potter, 2015, PLoS ONE 10(10): e0139675 (flybase.org/reports/FBrf0229748)</t>
  </si>
  <si>
    <t>photoreceptor cell R6</t>
  </si>
  <si>
    <t>lamina receptor cell R6; receptor cell R6</t>
  </si>
  <si>
    <t>Outer photoreceptor cell of the adult eye whose rhabdomere is located at the right angle vertex of the shorter of the two parallel sides of the trapezoid of rhabdomeres in each ommatidium. It has a single axon that projects along a single lamina optic cartridge (Fischbach and Dittrich, 1989; Wolff and Ready, 1993) within which it makes extensive presynaptic connections with the lamina monopolar cells L1-L4 (L4 collaterals from adjacent columns) and lamina intrinsic (amacrine) cells, before terminating in the proximal lamina. It also establishes connections with epithelial and marginal glial cells. The photoreceptor R6 receives input from L4 (L4 collaterals from adjacent columns) and lamina wide-field neurons Lawf (Rivera-Alba et al., 2011).</t>
  </si>
  <si>
    <t>adult olfactory receptor neuron Or83c</t>
  </si>
  <si>
    <t>ORN at2B; odorant receptor neuron DC3; ORN at2A; odorant receptor neuron Or83c; adult ORN Or83c; ORN (Or83c); ORN ai2a</t>
  </si>
  <si>
    <t>Bilateral olfactory receptor neuron (ORN) that expresses Or83c (FBgn0037399). Its axon branches, with one branch innervating the ipsilateral antennal lobe glomerulus DC3 and the other fasciculating with the antennal commissure and innervating the contralateral antennal lobe glomerulus DC3. Its dendrite transduces signals from antennal intermediate sensillum ai2. These neurons detect farnesol (Ronderos et al., 2014).</t>
  </si>
  <si>
    <t>http://neuro.uni-konstanz.de/DoOR/content/receptor.php?OR=Or83c; Couto et al., 2005, Curr. Biol. 15(17): 1535--1547 (flybase.org/reports/FBrf0187305); Ronderos et al., 2014, J. Neurosci. 34(11): 3959--3968 (flybase.org/reports/FBrf0224383); Lin and Potter, 2015, PLoS ONE 10(10): e0139675 (flybase.org/reports/FBrf0229748)</t>
  </si>
  <si>
    <t>adult olfactory receptor neuron Or42b</t>
  </si>
  <si>
    <t>ORN (Or42b); ORN ab1A; odorant receptor neuron Or42b; adult ORN Or42b; odorant receptor neuron DM1</t>
  </si>
  <si>
    <t>Bilateral olfactory receptor neuron (ORN) that expresses Or42b (FBgn0033043). Its axon branches, with one branch innervating the ipsilateral antennal lobe glomerulus DM1 and the other fasciculating with the antennal commissure and innervating the contralateral antennal lobe glomerulus DM1. Its dendrite transduces signals from antennal basiconic sensillum ab1.</t>
  </si>
  <si>
    <t>http://neuro.uni-konstanz.de/DoOR/content/receptor.php?OR=Or42b; Couto et al., 2005, Curr. Biol. 15(17): 1535--1547 (flybase.org/reports/FBrf0187305)</t>
  </si>
  <si>
    <t>sugar-sensing neuron of prothoracic leg tarsal taste bristle 5b</t>
  </si>
  <si>
    <t>Sensory neuron that has a dendrite in the prothoracic leg tarsal taste bristle 5b and is capable of detecting sweet stimuli (Ling et al., 2014). It expresses Gr5a, Gr64c and Gr64e in addition to the core receptors expressed by sugar-sensing neurons of the leg and the sensillum it innervates can detect the sugars fructose, glucose, maltose, maltotriose, palatinose, sucrose and trehalose (Ling et al., 2014). It does not ascend to the brain (Kwon et al., 2014).</t>
  </si>
  <si>
    <t>sugar-sensing neuron of prothoracic leg tarsal taste bristle 4s</t>
  </si>
  <si>
    <t>Sensory neuron that has a dendrite in the prothoracic leg tarsal taste bristle 4s and is capable of detecting sweet stimuli (Ling et al., 2014). It expresses Gr5a, Gr64c and Gr64e in addition to the core receptors expressed by sugar-sensing neurons of the leg and the sensillum it innervates can detect the sugars fructose, glucose, maltose, maltotriose, palatinose, sucrose and trehalose (Ling et al., 2014). It does not ascend to the brain (Kwon et al., 2014).</t>
  </si>
  <si>
    <t>sugar-sensing neuron of prothoracic leg tarsal taste bristle 4b</t>
  </si>
  <si>
    <t>Sensory neuron that has a dendrite in the prothoracic leg tarsal taste bristle 4b and is capable of detecting sweet stimuli (Ling et al., 2014). It expresses Gr64c in addition to the core receptors expressed by sugar-sensing neurons of the leg and the sensillum it innervates can detect the sugars glucose, maltose and sucrose (Ling et al., 2014).</t>
  </si>
  <si>
    <t>sugar-sensing neuron of prothoracic leg tarsal taste bristle 3b</t>
  </si>
  <si>
    <t>Sensory neuron that has a dendrite in the prothoracic leg tarsal taste bristle 3b and is capable of detecting sweet stimuli (Ling et al., 2014). It expresses Gr5a, Gr64c and Gr64e in addition to the core receptors expressed by sugar-sensing neurons of the leg and the sensillum it innervates can detect the sugars glucose, maltose, palatinose and sucrose (Ling et al., 2014). It does not ascend to the brain (Kwon et al., 2014).</t>
  </si>
  <si>
    <t>sugar-sensing neuron of prothoracic leg tarsal taste bristle 2b</t>
  </si>
  <si>
    <t>Sensory neuron that has a dendrite in the prothoracic leg tarsal taste bristle 2b and is capable of detecting sweet stimuli (Ling et al., 2014). It expresses Gr5a, Gr64c and Gr64e in addition to the core receptors expressed by sugar-sensing neurons of the leg and the sensillum it innervates can detect the sugars glucose, maltose, palatinose and sucrose (Ling et al., 2014). It does not ascend to the brain (Kwon et al., 2014).</t>
  </si>
  <si>
    <t>ventral cibarial sense organ neuron V6</t>
  </si>
  <si>
    <t>VCSO V6</t>
  </si>
  <si>
    <t>Gustatory receptor neuron that innervates the ventral cibarial sense organ of the adult pharynx. There is one of these cells, which is unique among pharyngeal sense organ neurons in expressing Gr9a; it also expresses a range of other Gustatory receptors, as well as Ir11a and Ir25a (Chen and Dahanukar, 2017).</t>
  </si>
  <si>
    <t>Chen and Dahanukar, 2017, Cell Rep. 21(10): 2978--2991 (flybase.org/reports/FBrf0237413)</t>
  </si>
  <si>
    <t>ventral cibarial sense organ neuron V5</t>
  </si>
  <si>
    <t>VCSO V5</t>
  </si>
  <si>
    <t>Gustatory receptor neuron that innervates the ventral cibarial sense organ of the adult pharynx. There is one of these cells, which is unique among pharyngeal sense organ neurons in expressing Gr22d; it also expresses a range of other Gustatory receptors and a few Ionotropic receptors (Chen and Dahanukar, 2017).</t>
  </si>
  <si>
    <t>sugar-sensing neuron of metathoracic leg tarsal taste bristle 5v</t>
  </si>
  <si>
    <t>Sensory neuron that has a dendrite in the metathoracic leg tarsal taste bristle 5v and is capable of detecting sweet stimuli (Ling et al., 2014). It expresses Gr43a, Gr64c and Gr64e in addition to the core receptors expressed by sugar-sensing neurons of the leg (Ling et al., 2014).</t>
  </si>
  <si>
    <t>sugar-sensing neuron of metathoracic leg tarsal taste bristle 5b</t>
  </si>
  <si>
    <t>Sensory neuron that has a dendrite in the metathoracic leg tarsal taste bristle 5b and is capable of detecting sweet stimuli (Ling et al., 2014). It expresses Gr5a, Gr64c and Gr64e in addition to the core receptors expressed by sugar-sensing neurons of the leg (Ling et al., 2014). It does not ascend to the brain (Kwon et al., 2014).</t>
  </si>
  <si>
    <t>mechanosensory neuron of mesothoracic femoral chordotonal organ</t>
  </si>
  <si>
    <t>Mechanosensory neuron that innervates a scolopidium of a femoral chordotonal organ in the mesothoracic leg.</t>
  </si>
  <si>
    <t>ventral cibarial sense organ neuron V4</t>
  </si>
  <si>
    <t>VCSO V4</t>
  </si>
  <si>
    <t>Gustatory receptor neuron that innervates the ventral cibarial sense organ of the adult pharynx. There is one of these cells, which is unique among ventral cibarial sense organ neurons in expressing ppk28; it also expresses Ir20a and Ir25a (Chen and Dahanukar, 2017).</t>
  </si>
  <si>
    <t>mechanosensory neuron of metathoracic femoral chordotonal organ</t>
  </si>
  <si>
    <t>Mechanosensory neuron that innervates a scolopidium of a femoral chordotonal organ in the metathoracic leg.</t>
  </si>
  <si>
    <t>ventral cibarial sense organ neuron V3</t>
  </si>
  <si>
    <t>VCSO V3</t>
  </si>
  <si>
    <t>Gustatory receptor neuron that innervates the ventral cibarial sense organ of the adult pharynx. There is one of these cells, which expresses Ir20a, Ir76b and Ir25a (Chen and Dahanukar, 2017).</t>
  </si>
  <si>
    <t>mechanosensory neuron of prothoracic femoral chordotonal organ</t>
  </si>
  <si>
    <t>Mechanosensory neuron that innervates a scolopidium of a femoral chordotonal organ in the prothoracic leg.</t>
  </si>
  <si>
    <t>ventral cibarial sense organ neuron V2</t>
  </si>
  <si>
    <t>VCSO V2</t>
  </si>
  <si>
    <t>Gustatory receptor neuron that innervates the ventral cibarial sense organ of the adult pharynx. There is one of these cells, which is unique among pharyngeal sense organ neurons in expressing Ir94h; it also expresses Gr43a, Gr64d and Gr64e (Chen and Dahanukar, 2017).</t>
  </si>
  <si>
    <t>adult Ir56d neuron of labellar taste bristle</t>
  </si>
  <si>
    <t>Adult Ir56d-expressing neuron that innervates labellar taste bristles. It responds to sugars in solution and projects to posterior maxillary sensory zone 4 (PMS4) of the subesophageal zone (Sanchez-Alcaniz et al., 2018).</t>
  </si>
  <si>
    <t>ventral cibarial sense organ neuron V1</t>
  </si>
  <si>
    <t>VCSO V1</t>
  </si>
  <si>
    <t>Gustatory receptor neuron that innervates the ventral cibarial sense organ of the adult pharynx. There is one of these cells, which is unique among pharyngeal sense organ neurons in expressing Gr64c; it also expresses Gr43a, Gr64d and Gr64e (Chen and Dahanukar, 2017).</t>
  </si>
  <si>
    <t>extra l-LNv neuron</t>
  </si>
  <si>
    <t>l-LNvx; l-LNv extra</t>
  </si>
  <si>
    <t>One neuron per cluster of four l-LNv neurons characterized by its more restricted projection pattern on the surface of the ipsi- and contralateral medulla.</t>
  </si>
  <si>
    <t>Schubert et al., 2018, J. Comp. Neurol. 526(7): 1209--1231 (flybase.org/reports/FBrf0238313)</t>
  </si>
  <si>
    <t>ventral cibarial sense organ neuron V8</t>
  </si>
  <si>
    <t>VCSO V8</t>
  </si>
  <si>
    <t>Gustatory receptor neuron that innervates the ventral cibarial sense organ of the adult pharynx. There is one of these cells, which expresses Gr93d and Ir25a (Chen and Dahanukar, 2017).</t>
  </si>
  <si>
    <t>ventral cibarial sense organ neuron V7</t>
  </si>
  <si>
    <t>VCSO V7</t>
  </si>
  <si>
    <t>Gustatory receptor neuron that innervates the ventral cibarial sense organ of the adult pharynx. There is one of these cells, which expresses a range of Gustatory receptors, as well as Ir11a and Ir25a (Chen and Dahanukar, 2017).</t>
  </si>
  <si>
    <t>sugar-sensing neuron of metathoracic leg tarsal taste bristle 4s</t>
  </si>
  <si>
    <t>Sensory neuron that has a dendrite in the metathoracic leg tarsal taste bristle 4s and is capable of detecting sweet stimuli (Ling et al., 2014). It expresses Gr5a, Gr64c and Gr64e in addition to the core receptors expressed by sugar-sensing neurons of the leg (Ling et al., 2014). It does not ascend to the brain (Kwon et al., 2014).</t>
  </si>
  <si>
    <t>sugar-sensing neuron of mesothoracic leg tarsal taste bristle 5v</t>
  </si>
  <si>
    <t>Sensory neuron that has a dendrite in the mesothoracic leg tarsal taste bristle 5v and is capable of detecting sweet stimuli (Ling et al., 2014). It expresses Gr43a, Gr64c and Gr64e in addition to the core receptors expressed by sugar-sensing neurons of the leg and the sensillum it innervates can detect the sugars fructose, glucose, maltose and sucrose (Ling et al., 2014).</t>
  </si>
  <si>
    <t>sugar-sensing neuron of mesothoracic leg tarsal taste bristle 5b</t>
  </si>
  <si>
    <t>Sensory neuron that has a dendrite in the mesothoracic leg tarsal taste bristle 5b and is capable of detecting sweet stimuli (Ling et al., 2014). It expresses Gr5a, Gr64c and Gr64e in addition to the core receptors expressed by sugar-sensing neurons of the leg and the sensillum it innervates can detect the sugars glucose, maltose and sucrose (Ling et al., 2014). It does not ascend to the brain (Kwon et al., 2014).</t>
  </si>
  <si>
    <t>adult olfactory receptor neuron Gr21a/63a</t>
  </si>
  <si>
    <t>adult ORN Gr21a; ORN ab1C; ORN (Gr21a); olfactory receptor neuron V; adult olfactory receptor neuron Gr21a</t>
  </si>
  <si>
    <t>Ipsilateral odorant receptor neuron that expresses Gr21a (FBgn0041250) (Couto et al., 2005) and Gr63a (FBgn0035468) (Kwon et al., 2007). It innervates antennal lobe glomerulus V. Unlike many other antennal olfactory receptor neurons, it does not send an axon branch through the antennal commissure to innervate the equivalent contralateral glomerulus. Suh et al., (2004) and Kwon et al., (2007) identify this neuron as being sensitive to CO2 levels. Its dendrite transduces signals from antennal basiconic sensillum ab1.</t>
  </si>
  <si>
    <t>http://neuro.uni-konstanz.de/DoOR/content/receptor.php?OR=Gr21a.Gr63a; Stocker et al., 1990, Cell Tissue Res. 262(1): 9--34 (flybase.org/reports/FBrf0051437); Suh et al., 2004, Nature 431(7010): 854--859 (flybase.org/reports/FBrf0179739); Couto et al., 2005, Curr. Biol. 15(17): 1535--1547 (flybase.org/reports/FBrf0187305); Kwon et al., 2007, Proc. Natl. Acad. Sci. U.S.A. 104(9): 3574--3578 (flybase.org/reports/FBrf0192797)</t>
  </si>
  <si>
    <t>adult olfactory receptor neuron ab11a</t>
  </si>
  <si>
    <t>ORN ab11</t>
  </si>
  <si>
    <t>An olfactory receptor neuron that whose dendrite transduces signals from the antennal basiconic sensillum ab11. It is distinguishable from ORN ab11b and ORN ab11c by its odor response profile.</t>
  </si>
  <si>
    <t>Kwon et al., 2010, Curr. Biol. 20(18): 1672--1678 (flybase.org/reports/FBrf0211878)</t>
  </si>
  <si>
    <t>adult olfactory receptor neuron ab11b</t>
  </si>
  <si>
    <t>An olfactory receptor neuron that whose dendrite transduces signals from the antennal basiconic sensillum ab11. It is distinguishable from ORN ab11a and ORN ab11c by its odor response profile.</t>
  </si>
  <si>
    <t>bitter-sensing neuron of the labellum</t>
  </si>
  <si>
    <t>Gr66a neuron of the labellum</t>
  </si>
  <si>
    <t>Gustatory receptor neuron of the labellum that responds to bitter stimuli and innervates a bitter-sensitive sensillum. All of these cells express Gr66a, usually in combination with Gr32a, Gr33a and Gr89a (Weiss et al., 2011).</t>
  </si>
  <si>
    <t>Weiss et al., 2011, Neuron 69(2): 258--272 (flybase.org/reports/FBrf0212834)</t>
  </si>
  <si>
    <t>adult olfactory receptor neuron Or56a</t>
  </si>
  <si>
    <t>adult olfactory receptor neuron Or33a; adult ORN Or33a; adult olfactory receptor neuron DA2; adult olfactory receptor neuron Or56a; adult ORN Or56a; adult olfactory receptor neuron Or56a/33a; ORN ab4B; ORN (Or56a); adult ORN Or56a/33a</t>
  </si>
  <si>
    <t>Bilateral olfactory receptor neuron (ORN) that expresses Or56a (FBgn0034473) and Or33a (FBgn0026392). Its axon branches, with one branch innervating the ipsilateral antennal lobe glomerulus DA2 and the other fasciculating with the antennal commissure and innervating the contralateral antennal lobe glomerulus DA2. Its dendrite transduces signals from antennal basiconic sensillum ab4.</t>
  </si>
  <si>
    <t>http://neuro.uni-konstanz.de/DoOR/content/receptor.php?OR=ab4B; Hallem et al., 2004, Cell 117(7): 965--979 (flybase.org/reports/FBrf0179238); Couto et al., 2005, Curr. Biol. 15(17): 1535--1547 (flybase.org/reports/FBrf0187305); Fishilevich et al., 2005, Curr. Biol. 15(23): 2086--2096 (flybase.org/reports/FBrf0190010)</t>
  </si>
  <si>
    <t>adult olfactory receptor neuron Or98a</t>
  </si>
  <si>
    <t>odorant receptor neuron VM5v; odorant receptor neuron Or98a; ORN ab7A; ORN (Or98a); adult ORN Or98a</t>
  </si>
  <si>
    <t>Bilateral olfactory receptor neuron (ORN) that expresses Or98a (FBgn0039551). Its axon branches, with one branch innervating the ipsilateral antennal lobe glomerulus VM5v and the other fasciculating with the antennal commissure and innervating the contralateral antennal lobe glomerulus VM5v. Its dendrite transduces signals from antennal basiconic sensillum ab7.</t>
  </si>
  <si>
    <t>http://neuro.uni-konstanz.de/DoOR/content/receptor.php?OR=Or98a; Couto et al., 2005, Curr. Biol. 15(17): 1535--1547 (flybase.org/reports/FBrf0187305)</t>
  </si>
  <si>
    <t>adult olfactory receptor neuron Or49b</t>
  </si>
  <si>
    <t>ORN ab6B; ORN (Or49b); odorant receptor neuron Or49b; odorant receptor neuron VA5; adult ORN Or49b</t>
  </si>
  <si>
    <t>Bilateral olfactory receptor neuron (ORN) that expresses Or49b (FBgn0028963). Its axon branches, with one branch innervating the ipsilateral antennal lobe glomerulus VA5 and the other fasciculating with the antennal commissure and innervating the contralateral antennal lobe glomerulus VA5. Its dendrite transduces signals from antennal basiconic sensillum ab6.</t>
  </si>
  <si>
    <t>http://neuro.uni-konstanz.de/DoOR/content/receptor.php?OR=Or49b; Hallem et al., 2004, Cell 117(7): 965--979 (flybase.org/reports/FBrf0179238); Couto et al., 2005, Curr. Biol. 15(17): 1535--1547 (flybase.org/reports/FBrf0187305)</t>
  </si>
  <si>
    <t>sugar-sensing neuron of large labellar taste bristle</t>
  </si>
  <si>
    <t>Sugar-sensing gustatory receptor neuron of the labellum that innervates a large sensillum of the labellum. They express Gr61a and Gr64e, as well as the core gustatory receptors (Gr5a and Gr64f) expressed in S cells (sugar-sensing neurons of the labellum) (Weiss et al., 2011).</t>
  </si>
  <si>
    <t>sugar-sensing neuron of bitter-sensitive labellar taste bristle</t>
  </si>
  <si>
    <t>Sugar-sensing gustatory receptor neuron of the labellum that innervates a bitter-sensitive sensillum of the labellum. They express Gr64e, as well as the core gustatory receptors (Gr5a and Gr64f) expressed in S cells (sugar-sensing neurons of the labellum) (Weiss et al., 2011).</t>
  </si>
  <si>
    <t>adult olfactory receptor neuron Or10a</t>
  </si>
  <si>
    <t>odorant receptor neuron Or10a; ORN (Or10a); ORN ab1D; adult ORN Or10a; odorant receptor neuron DL1</t>
  </si>
  <si>
    <t>Bilateral olfactory receptor neuron (ORN) that expresses Or10a (FBgn0030298) and the gustatory receptor Gr10a (FBgn0045502) (Fishilevich and Vosshall, 2005). Its axon branches, with one branch innervating the ipsilateral antennal lobe glomerulus DL1 and the other fasciculating with the antennal commissure and innervating the contralateral antennal lobe glomerulus DL1. Its dendrite transduces signals from antennal basiconic sensillum ab1.</t>
  </si>
  <si>
    <t>http://neuro.uni-konstanz.de/DoOR/content/receptor.php?OR=Or10a; Hallem et al., 2004, Cell 117(7): 965--979 (flybase.org/reports/FBrf0179238); Couto et al., 2005, Curr. Biol. 15(17): 1535--1547 (flybase.org/reports/FBrf0187305); Fishilevich and Vosshall, 2005, Curr. Biol. 15(17): 1548--1553 (flybase.org/reports/FBrf0187306)</t>
  </si>
  <si>
    <t>adult olfactory receptor neuron Or65</t>
  </si>
  <si>
    <t>ORN (Or65a/b/c); odorant receptor neuron DL3; odorant receptor neuron Or65; ORN at4B; ORN at4Y; adult ORN Or65; ORN at3b</t>
  </si>
  <si>
    <t>Bilateral olfactory receptor neuron (ORN) that expresses Or65 (Or65a ; FBgn0041625, Or65b ; FBgn0041624, Or65c ; FBgn0041623). Its axon branches, with one branch innervating the ipsilateral antennal lobe glomerulus DL3 and the other fasciculating with the antennal commissure and innervating the contralateral antennal lobe glomerulus DL3. Its dendrite transduces signals from antennal trichoid sensillum at4.</t>
  </si>
  <si>
    <t>http://neuro.uni-konstanz.de/DoOR/content/receptor.php?OR=Or65a; Couto et al., 2005, Curr. Biol. 15(17): 1535--1547 (flybase.org/reports/FBrf0187305)</t>
  </si>
  <si>
    <t>mechanosensory neuron of metathoracic trochanter sensillum campaniformium</t>
  </si>
  <si>
    <t>Mechanosensory neuron with a dendrite in a sensillum campaniformium of the trochanter of the metathoracic leg.</t>
  </si>
  <si>
    <t>mechanosensory neuron of mesothoracic trochanter sensillum campaniformium</t>
  </si>
  <si>
    <t>Mechanosensory neuron with a dendrite in a sensillum campaniformium of the trochanter of the mesothoracic leg.</t>
  </si>
  <si>
    <t>mechanosensory neuron of metathoracic femoral sensillum campaniformium</t>
  </si>
  <si>
    <t>Mechanosensory neuron with a dendrite in a sensillum campaniformium of the femur of the metathoracic leg.</t>
  </si>
  <si>
    <t>mechanosensory neuron of prothoracic trochanter sensillum campaniformium</t>
  </si>
  <si>
    <t>Mechanosensory neuron with a dendrite in a sensillum campaniformium of the trochanter of the prothoracic leg.</t>
  </si>
  <si>
    <t>adult olfactory receptor neuron Or9a</t>
  </si>
  <si>
    <t>odorant receptor neuron Or9a; odorant receptor neuron VM3; ORN ab8B; ORN (Or9a); ORN pb9A; adult ORN Or9a</t>
  </si>
  <si>
    <t>Bilateral olfactory receptor neuron (ORN) that expresses Or9a (FBgn0030204). Its axon branches, with one branch innervating the ipsilateral antennal lobe glomerulus VM3 and the other fasciculating with the antennal commissure and innervating the contralateral antennal lobe glomerulus VM3. Its dendrite transduces signals from antennal basiconic sensillum ab8.</t>
  </si>
  <si>
    <t>http://neuro.uni-konstanz.de/DoOR/content/receptor.php?OR=Or9a; Hallem et al., 2004, Cell 117(7): 965--979 (flybase.org/reports/FBrf0179238); Couto et al., 2005, Curr. Biol. 15(17): 1535--1547 (flybase.org/reports/FBrf0187305)</t>
  </si>
  <si>
    <t>mechanosensory neuron of mesothoracic femoral sensillum campaniformium</t>
  </si>
  <si>
    <t>Mechanosensory neuron with a dendrite in a sensillum campaniformium of the femur of the mesothoracic leg.</t>
  </si>
  <si>
    <t>mechanosensory neuron of prothoracic femoral sensillum campaniformium</t>
  </si>
  <si>
    <t>Mechanosensory neuron with a dendrite in a sensillum campaniformium of the femur of the prothoracic leg.</t>
  </si>
  <si>
    <t>adult olfactory receptor neuron Or59c</t>
  </si>
  <si>
    <t>olfactory receptor neuron Or59c; olfactory receptor neuron 1; ORN pb3A; ORN (Or59c); adult ORN Or59c</t>
  </si>
  <si>
    <t>Bilateral olfactory receptor neuron (ORN) that expresses Or59c (FBgn0034866). Its axon branches, with one branch innervating the ipsilateral `antennal lobe glomerulus VM7v` (FBbt:00007092) and the other fasciculating with the antennal commissure and innervating the contralateral `antennal lobe glomerulus VM7v` (FBbt:00007092). Its dendrite transduces signals from `maxillary palp basiconic sensillum pb3` (FBbt:00067006).</t>
  </si>
  <si>
    <t>http://neuro.uni-konstanz.de/DoOR/content/receptor.php?OR=Or59c; Goldman et al., 2005, Neuron 45(5): 661--666 (flybase.org/reports/FBrf0184216); Couto et al., 2005, Curr. Biol. 15(17): 1535--1547 (flybase.org/reports/FBrf0187305)</t>
  </si>
  <si>
    <t>adult olfactory receptor neuron Or7a</t>
  </si>
  <si>
    <t>adult ORN Or7a; ORN ab4A; odorant receptor neuron DL5; odorant receptor neuron Or7a; ORN (Or7a)</t>
  </si>
  <si>
    <t>Bilateral olfactory receptor neuron (ORN) that expresses Or7a (FBgn0030016). Its axon branches, with one branch innervating the ipsilateral antennal lobe glomerulus DL5 and the other fasciculating with the antennal commissure and innervating the contralateral antennal lobe glomerulus DL5. Its dendrite transduces signals from antennal basiconic sensillum ab4.</t>
  </si>
  <si>
    <t>http://neuro.uni-konstanz.de/DoOR/content/receptor.php?OR=Or7a; Hallem et al., 2004, Cell 117(7): 965--979 (flybase.org/reports/FBrf0179238); Couto et al., 2005, Curr. Biol. 15(17): 1535--1547 (flybase.org/reports/FBrf0187305)</t>
  </si>
  <si>
    <t>adult olfactory receptor neuron Or59b</t>
  </si>
  <si>
    <t>ORN (Or59b); odorant receptor neuron Or59b; odorant receptor neuron DM4; ORN ab2A; adult ORN Or59b</t>
  </si>
  <si>
    <t>Bilateral olfactory receptor neuron (ORN) that expresses Or59b (FBgn0034865). Its axon branches, with one branch innervating the ipsilateral antennal lobe glomerulus DM4 and the other fasciculating with the antennal commissure and innervating the contralateral antennal lobe glomerulus DM4. Its dendrite transduces signals from antennal basiconic sensillum ab2.</t>
  </si>
  <si>
    <t>http://neuro.uni-konstanz.de/DoOR/content/receptor.php?OR=Or59b; Hallem et al., 2004, Cell 117(7): 965--979 (flybase.org/reports/FBrf0179238); Couto et al., 2005, Curr. Biol. 15(17): 1535--1547 (flybase.org/reports/FBrf0187305)</t>
  </si>
  <si>
    <t>adult olfactory receptor neuron ab12b</t>
  </si>
  <si>
    <t>ORN ab12</t>
  </si>
  <si>
    <t>An olfactory receptor neuron that whose dendrite transduces signals from the antennal basiconic sensillum ab11. It is distinguishable from ORN ab12a and ORN ab12c by its odor response profile.</t>
  </si>
  <si>
    <t>adult olfactory receptor neuron ab12a</t>
  </si>
  <si>
    <t>An olfactory receptor neuron that whose dendrite transduces signals from the antennal basiconic sensillum ab11. It is distinguishable from ORN ab12b and ORN ab12c by its odor response profile.</t>
  </si>
  <si>
    <t>adult olfactory receptor neuron ab12c</t>
  </si>
  <si>
    <t>An olfactory receptor neuron that whose dendrite transduces signals from the antennal basiconic sensillum ab11. It is distinguishable from ORN ab12a and ORN ab12b by its odor response profile.</t>
  </si>
  <si>
    <t>adult olfactory receptor neuron ab11c</t>
  </si>
  <si>
    <t>An olfactory receptor neuron that whose dendrite transduces signals from the antennal basiconic sensillum ab11. It is distinguishable from ORN ab11a and ORN ab11b by its odor response profile.</t>
  </si>
  <si>
    <t>dorsal margin photoreceptor cell R7</t>
  </si>
  <si>
    <t>ventral cibarial sense organ neuron of proximal sensillum</t>
  </si>
  <si>
    <t>Gustatory receptor neuron that innervates the proximal sensillum of the ventral cibarial sense organ of the adult pharynx. There are two of these per sensillum.</t>
  </si>
  <si>
    <t>adult olfactory receptor neuron Ir84a</t>
  </si>
  <si>
    <t>ORN Ir84a; ionotropic receptor neuron Ir84a; Ir84a ac4; ORN ac4; ionotropic receptor neuron VL2a; ORN (VL2a); ORN ac4Y</t>
  </si>
  <si>
    <t>Bilateral olfactory receptor neuron that expresses the Ionotropic receptor (Ir) 84a (FBgn0037501) and the co-receptor Ir8a (FBgn0052704). Its axon branches, with one branch innervating the ipsilateral antennal lobe glomerulus VL2a and the other fasciculating with the antennal commissure and innervating the contralateral antennal lobe glomerulus VL2a (Grosjean et al., 2011; Silbering et al., 2011). Its dendrite transduces signals from the antennal coeloconic sensillum ac4 (Benton et al., 2009).</t>
  </si>
  <si>
    <t>http://neuro.uni-konstanz.de/DoOR/content/receptor.php?OR=Ir84a; Benton et al., 2009, Cell 136(1): 149--162 (flybase.org/reports/FBrf0206496); Silbering et al., 2011, J. Neurosci. 31(38): 13357--13375 (flybase.org/reports/FBrf0215822); Grosjean et al., 2011, Nature 478(7368): 236--240 (flybase.org/reports/FBrf0216424)</t>
  </si>
  <si>
    <t>adult olfactory receptor neuron Or2a</t>
  </si>
  <si>
    <t>ORN at3X; ORN ai3b; ORN ai2; ORN (Or2a); adult ORN Or2a; odorant receptor neuron Or2a; odorant receptor neuron DA4m; ORN at3A</t>
  </si>
  <si>
    <t>Bilateral olfactory receptor neuron (ORN) that expresses Or2a (FBgn0023523). Its axon branches, with one branch innervating the ipsilateral antennal lobe glomerulus DA4 medial compartment and the other fasciculating with the antennal commissure and innervating the contralateral antennal lobe glomerulus DA4 medial compartment. Its dendrite transduces signals from intermediate sensillum ai3.</t>
  </si>
  <si>
    <t>http://neuro.uni-konstanz.de/DoOR/content/receptor.php?OR=Or2a; Couto et al., 2005, Curr. Biol. 15(17): 1535--1547 (flybase.org/reports/FBrf0187305); Ronderos et al., 2014, J. Neurosci. 34(11): 3959--3968 (flybase.org/reports/FBrf0224383); Lin and Potter, 2015, PLoS ONE 10(10): e0139675 (flybase.org/reports/FBrf0229748)</t>
  </si>
  <si>
    <t>adult olfactory receptor neuron Ir64a DP1m</t>
  </si>
  <si>
    <t>ORN Ir64a; ionotropic receptor neuron DP1m</t>
  </si>
  <si>
    <t>Bilateral olfactory receptor neuron that expresses the ionotropic glutamate receptor (Ir) 64a (FBgn0035604) and the co-receptor Ir8a (FBgn0052704). Its axon branches, with one branch innervating the ipsilateral antennal lobe glomeruli DP1m and the other fasciculating with the antennal commissure and innervating the contralateral antennal lobe glomeruli DP1m (Ai et al., 2010; Silbering et al., 2011). Its dendrite transduces signals from the grooved sensillum 2 of the dorsal compartment of chamber III of sacculus (Shanbhag et al., 1995).</t>
  </si>
  <si>
    <t>http://neuro.uni-konstanz.de/DoOR/content/receptor.php?OR=Ir64a.DP1m; Shanbhag et al., 1995, Cell Tissue Res. 282(2): 237--249 (flybase.org/reports/FBrf0084361); Ai et al., 2010, Nature 468(7324): 691--695 (flybase.org/reports/FBrf0212455); Silbering et al., 2011, J. Neurosci. 31(38): 13357--13375 (flybase.org/reports/FBrf0215822); Ai et al., 2013, J. Neurosci. 33(26): 10741--10749 (flybase.org/reports/FBrf0222046)</t>
  </si>
  <si>
    <t>bitter-sensing neuron of metathoracic leg tarsal taste bristle 5b</t>
  </si>
  <si>
    <t>Sensory neuron that has a dendrite in the metathoracic leg tarsal taste bristle 5b and is capable of detecting bitter stimuli (Ling et al., 2014). It expresses Gr32a in addition to the core receptors expressed by bitter-sensing neurons of the leg (Ling et al., 2014).</t>
  </si>
  <si>
    <t>bitter-sensing neuron of metathoracic leg tarsal taste bristle 4s</t>
  </si>
  <si>
    <t>Sensory neuron that has a dendrite in the metathoracic leg tarsal taste bristle 4s and is capable of detecting bitter stimuli (Ling et al., 2014). It expresses Gr32a in addition to the core receptors expressed by bitter-sensing neurons of the leg (Ling et al., 2014).</t>
  </si>
  <si>
    <t>bitter-sensing neuron of mesothoracic leg tarsal taste bristle 5b</t>
  </si>
  <si>
    <t>Sensory neuron that has a dendrite in the mesothoracic leg tarsal taste bristle 5b and is capable of detecting bitter stimuli (Ling et al., 2014). It expresses Gr32a in addition to the core receptors expressed by bitter-sensing neurons of the leg and the sensillum it innervates can detect the bitter compounds denatonium, lobeline, quinine and sparteine (Ling et al., 2014).</t>
  </si>
  <si>
    <t>adult olfactory receptor neuron Ir64a DC4</t>
  </si>
  <si>
    <t>ORN Ir64a; ionotropic receptor neuron DC4</t>
  </si>
  <si>
    <t>Bilateral olfactory receptor neuron that expresses the ionotropic glutamate receptor (Ir) 64a (FBgn0035604) and the co-receptor Ir8a (FBgn0052704). Its axon branches, with one branch innervating the ipsilateral antennal lobe glomeruli DC4 and the other fasciculating with the antennal commissure and innervating the contralateral antennal lobe glomeruli DC4 (Ai et al., 2010; Silbering et al., 2011). Its dendrite transduces signals from the grooved sensillum 1 of the ventral compartment of chamber III of sacculus (Shanbhag et al., 1995).</t>
  </si>
  <si>
    <t>Shanbhag et al., 1995, Cell Tissue Res. 282(2): 237--249 (flybase.org/reports/FBrf0084361); Ai et al., 2010, Nature 468(7324): 691--695 (flybase.org/reports/FBrf0212455); Silbering et al., 2011, J. Neurosci. 31(38): 13357--13375 (flybase.org/reports/FBrf0215822); Ai et al., 2013, J. Neurosci. 33(26): 10741--10749 (flybase.org/reports/FBrf0222046)</t>
  </si>
  <si>
    <t>bitter-sensing neuron of mesothoracic leg tarsal taste bristle 4s</t>
  </si>
  <si>
    <t>Sensory neuron that has a dendrite in the mesothoracic leg tarsal taste bristle 4s and is capable of detecting bitter stimuli (Ling et al., 2014). It expresses Gr32a in addition to the core receptors expressed by bitter-sensing neurons of the leg and the sensillum it innervates can detect the bitter compounds denatonium, lobeline, quinine, sparteine and strychnine (Ling et al., 2014).</t>
  </si>
  <si>
    <t>narrow bitter-sensing neuron of the labellum I-b</t>
  </si>
  <si>
    <t>Bitter-sensing gustatory receptor neuron of the labellum that innervates a narrowly-tuned bitter sensillum of the labellum belonging to group I-a. These cells are unique among the bitter-sensitive neurons of the labellum in expressing Gr47a, they additionally express Gr28a and Gr22b (Wang et al., 2004).</t>
  </si>
  <si>
    <t>narrow bitter-sensing neuron of the labellum I-a</t>
  </si>
  <si>
    <t>Bitter-sensing gustatory receptor neuron of the labellum that innervates a narrowly-tuned bitter sensillum of the labellum belonging to group I-a. They express Gr59c, but not Gr28a (Weiss et al., 2011).</t>
  </si>
  <si>
    <t>broad bitter-sensing neuron of the labellum S-a</t>
  </si>
  <si>
    <t>Bitter-sensing gustatory receptor neuron of the labellum that innervates a broadly-tuned bitter sensillum of the labellum belonging to group S-a. They express the widest range of Gustatory receptors, including Gr22b, Gr36b and Gr58b, which are generally not expressed in other classes of bitter-sensing neurons of the labellum (Weiss et al., 2011).</t>
  </si>
  <si>
    <t>broad bitter-sensing neuron of the labellum S-b</t>
  </si>
  <si>
    <t>category IIS neuron</t>
  </si>
  <si>
    <t>Bitter-sensing gustatory receptor neuron of the labellum that innervates a broadly-tuned bitter sensillum of the labellum belonging to group S-b. They express Gr22f and Gr36a, which are not expressed in other classes of bitter-sensing neurons of the labellum (Weiss et al., 2011).</t>
  </si>
  <si>
    <t>bitter-sensing neuron of prothoracic leg tarsal taste bristle 5s</t>
  </si>
  <si>
    <t>category IIT neuron; category IT neuron</t>
  </si>
  <si>
    <t>Sensory neuron that has a dendrite in the prothoracic leg tarsal taste bristle 5s and is capable of detecting bitter stimuli (Ling et al., 2014). It expresses many other gustatory receptors (including Gr66a, but not Gr32a) in addition to the core receptors expressed by bitter-sensing neurons of the leg and the sensillum it innervates can detect a wide range of bitter tastants (Ling et al., 2014). It passes through the prothoracic ganglion, then projects towards the head (Kwon et al., 2014).</t>
  </si>
  <si>
    <t>bitter-sensing neuron of prothoracic leg tarsal taste bristle 5b</t>
  </si>
  <si>
    <t>Sensory neuron that has a dendrite in the prothoracic leg tarsal taste bristle 5b and is capable of detecting bitter stimuli (Ling et al., 2014). It expresses Gr32a in addition to the core receptors expressed by bitter-sensing neurons of the leg and the sensillum it innervates can detect the bitter compounds denatonium, lobeline, quinine and sparteine (Ling et al., 2014).</t>
  </si>
  <si>
    <t>bitter-sensing neuron of prothoracic leg tarsal taste bristle 4s</t>
  </si>
  <si>
    <t>Sensory neuron that has a dendrite in the prothoracic leg tarsal taste bristle 4s and is capable of detecting bitter stimuli (Ling et al., 2014). It expresses Gr32a in addition to the core receptors expressed by bitter-sensing neurons of the leg and the sensillum it innervates can detect the bitter compounds denatonium, lobeline, quinine, sparteine and strychnine (Ling et al., 2014).</t>
  </si>
  <si>
    <t>bitter-sensing neuron of prothoracic leg tarsal taste bristle 4c</t>
  </si>
  <si>
    <t>Sensory neuron that has a dendrite in the prothoracic leg tarsal taste bristle 4c and is capable of detecting bitter stimuli (Ling et al., 2014). It expresses Gr32a in addition to the core receptors expressed by bitter-sensing neurons of the leg and the sensillum it innervates can detect the bitter compounds denatonium, lobeline, quinine, sparteine and strychnine (Ling et al., 2014).</t>
  </si>
  <si>
    <t>Johnston organ neuron tonically activated by push stimuli</t>
  </si>
  <si>
    <t>class i (push) Johnston organ neuron (JON); class i JON</t>
  </si>
  <si>
    <t>Johnston organ neuron that responds while the antenna is being pushed towards the head (Patella and Wilson, 2018). These tend to innervate AMMC zone E (Yorozu et al., 2009).</t>
  </si>
  <si>
    <t>Yorozu et al., 2009, Nature 458(7235): 201--205 (flybase.org/reports/FBrf0207559); Patella and Wilson, 2018, Curr. Biol. 28(8): 1189--1203.e5 (flybase.org/reports/FBrf0238696)</t>
  </si>
  <si>
    <t>Johnston organ neuron tonically activated by pull stimuli</t>
  </si>
  <si>
    <t>class ii JON; class ii (pull) Johnston organ neuron (JON)</t>
  </si>
  <si>
    <t>Johnston organ neuron that responds while the antenna is being pulled away from the head (Patella and Wilson, 2018). These tend to innervate AMMC zone C (Yorozu et al., 2009).</t>
  </si>
  <si>
    <t>Johnston organ neuron f1</t>
  </si>
  <si>
    <t>JON-f1</t>
  </si>
  <si>
    <t>Neuron of the Johnston organ that has presynaptic termini in subregion CL of AMMC zone C and subregion EDM of AMMC zone E only. The main projection is to zone C.</t>
  </si>
  <si>
    <t>Gr2a neuron of adult labral sensillum 7</t>
  </si>
  <si>
    <t>L7-3</t>
  </si>
  <si>
    <t>Chemosensory neuron that has a dendrite in sensillum 7 of the adult labral sense organ and expresses Gustatory receptor 2a, as well as other taste receptors. There is one (bilateral) pair of these neurons.</t>
  </si>
  <si>
    <t>photoreceptor cell R7 of pale ommatidium</t>
  </si>
  <si>
    <t>pR7</t>
  </si>
  <si>
    <t>Photoreceptor cell R7 that is part of a pale ommatidium and expresses Rhodopsin 3.</t>
  </si>
  <si>
    <t>Wernet and Desplan, 2004, Trends Cell Biol. 14(10): 576--584 (flybase.org/reports/FBrf0180690); Jukam et al., 2016, Development 143(13): 2389--2397 (flybase.org/reports/FBrf0232800)</t>
  </si>
  <si>
    <t>photoreceptor cell R7 of yellow ommatidium</t>
  </si>
  <si>
    <t>yR7</t>
  </si>
  <si>
    <t>Photoreceptor cell R7 located in the yellow ommatidium. It outputs to transmedullary neuron Tm5a (Gao et al., 2008; Karuppudurai et al., 2014) and transmedullary Y neuron Rh4TmY. It expresses Rhodopsin 4.</t>
  </si>
  <si>
    <t>Wernet and Desplan, 2004, Trends Cell Biol. 14(10): 576--584 (flybase.org/reports/FBrf0180690); Gao et al., 2008, Neuron 60(2): 328--342 (flybase.org/reports/FBrf0206213); Karuppudurai et al., 2014, Neuron 81(3): 603--615 (flybase.org/reports/FBrf0224070); Jukam et al., 2016, Development 143(13): 2389--2397 (flybase.org/reports/FBrf0232800)</t>
  </si>
  <si>
    <t>photoreceptor cell R8 of pale ommatidium</t>
  </si>
  <si>
    <t>pR8</t>
  </si>
  <si>
    <t>Photoreceptor cell R8 that is part of a pale ommatidium and expresses Rhodopsin 5.</t>
  </si>
  <si>
    <t>photoreceptor cell R8 of yellow ommatidium</t>
  </si>
  <si>
    <t>yR8</t>
  </si>
  <si>
    <t>Photoreceptor cell R8 that is part of a yellow ommatidium and expresses Rhodopsin 6.</t>
  </si>
  <si>
    <t>sweet taste neuron of adult labral sensillum 7</t>
  </si>
  <si>
    <t>Chemosensory neuron that has a dendrite in sensillum 7 of the adult labral sense organ and responds to sweet stimuli.</t>
  </si>
  <si>
    <t>LeDue et al., 2015, Nat. Commun. 6: 6667 (flybase.org/reports/FBrf0227933); Joseph et al., 2017, eLife 6: e24992 (flybase.org/reports/FBrf0235240)</t>
  </si>
  <si>
    <t>gravity sensitive Johnston organ neuron</t>
  </si>
  <si>
    <t>["gravity sensitive Johnston's organ neuron", 'deflection sensitive neurons; gravity sensing neurons</t>
  </si>
  <si>
    <t>Johnston organ neuron (JON) that is tonically activated by aristal deflection and plays a role in normal gravitaxis behavior (Kamikouchi et al., 2009).</t>
  </si>
  <si>
    <t>wind sensitive Johnston organ neuron</t>
  </si>
  <si>
    <t>["wind sensitive Johnston's organ neuron", 'deflection sensitive neuron</t>
  </si>
  <si>
    <t>Johnston's organ neuron (JON) tonically activated by arista deflection and required for 'wind-induced suppression of locomotion' behaviour (WISL; Yorozu et al., 2009). The cell bodies of these neurons form a broad ring in the medial and outer layers of the JON array (Kamikouchi et al., 2006).</t>
  </si>
  <si>
    <t>Kamikouchi et al., 2006, J. Comp. Neurol. 499(3): 317--356 (flybase.org/reports/FBrf0194812); Yorozu et al., 2009, Nature 458(7235): 201--205 (flybase.org/reports/FBrf0207559)</t>
  </si>
  <si>
    <t>Gr43a neuron of adult labral sensillum 7</t>
  </si>
  <si>
    <t>L7-2; L7-1</t>
  </si>
  <si>
    <t>Chemosensory neuron that has a dendrite in sensillum 7 of the adult labral sense organ and expresses Gustatory receptor 43a and other sweet taste receptors. It responds to a variety of sugars and promotes feeding. There are two (bilateral) pairs of these neurons.</t>
  </si>
  <si>
    <t>Ir60b neuron of adult labral sensillum 7</t>
  </si>
  <si>
    <t>L7-7</t>
  </si>
  <si>
    <t>Chemosensory neuron that has a dendrite in sensillum 7 of the adult labral sense organ and expresses Ionotropic receptor 60b. It responds specifically to sucrose and glucose and inhibits feeding. There is one (bilateral) pair of these neurons.</t>
  </si>
  <si>
    <t>Joseph et al., 2017, eLife 6: e24992 (flybase.org/reports/FBrf0235240)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</si>
</sst>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306"/>
  <sheetViews>
    <sheetView tabSelected="1" workbookViewId="0">
      <selection activeCell="B2" sqref="B2"/>
    </sheetView>
  </sheetViews>
  <sheetFormatPr baseColWidth="10" defaultColWidth="8.83203125" defaultRowHeight="15" x14ac:dyDescent="0.2"/>
  <sheetData>
    <row r="1" spans="1:8" x14ac:dyDescent="0.2">
      <c r="A1" s="1" t="s">
        <v>0</v>
      </c>
      <c r="B1" s="1" t="s">
        <v>1</v>
      </c>
      <c r="C1" s="1" t="s">
        <v>2</v>
      </c>
      <c r="D1" s="1" t="s">
        <v>3</v>
      </c>
      <c r="E1" s="1" t="s">
        <v>4</v>
      </c>
      <c r="F1" s="1" t="s">
        <v>5</v>
      </c>
      <c r="G1" s="1" t="s">
        <v>6</v>
      </c>
      <c r="H1" s="1" t="s">
        <v>7</v>
      </c>
    </row>
    <row r="2" spans="1:8" x14ac:dyDescent="0.2">
      <c r="A2" t="str">
        <f>HYPERLINK("https://www.ebi.ac.uk/ols/ontologies/fbbt/terms?iri=http://purl.obolibrary.org/obo/FBbt_00048062","FBbt:00048062")</f>
        <v>FBbt:00048062</v>
      </c>
      <c r="B2" t="s">
        <v>9</v>
      </c>
      <c r="C2" t="s">
        <v>8</v>
      </c>
      <c r="D2" t="s">
        <v>10</v>
      </c>
      <c r="E2" t="s">
        <v>11</v>
      </c>
    </row>
    <row r="3" spans="1:8" x14ac:dyDescent="0.2">
      <c r="A3" t="str">
        <f>HYPERLINK("https://www.ebi.ac.uk/ols/ontologies/fbbt/terms?iri=http://purl.obolibrary.org/obo/FBbt_00048058","FBbt:00048058")</f>
        <v>FBbt:00048058</v>
      </c>
      <c r="B3" t="s">
        <v>12</v>
      </c>
      <c r="C3" t="s">
        <v>13</v>
      </c>
      <c r="D3" t="s">
        <v>14</v>
      </c>
      <c r="E3" t="s">
        <v>15</v>
      </c>
    </row>
    <row r="4" spans="1:8" x14ac:dyDescent="0.2">
      <c r="A4" t="str">
        <f>HYPERLINK("https://www.ebi.ac.uk/ols/ontologies/fbbt/terms?iri=http://purl.obolibrary.org/obo/FBbt_00048072","FBbt:00048072")</f>
        <v>FBbt:00048072</v>
      </c>
      <c r="B4" t="s">
        <v>16</v>
      </c>
      <c r="C4" t="s">
        <v>8</v>
      </c>
      <c r="D4" t="s">
        <v>17</v>
      </c>
      <c r="E4" t="s">
        <v>11</v>
      </c>
    </row>
    <row r="5" spans="1:8" x14ac:dyDescent="0.2">
      <c r="A5" t="str">
        <f>HYPERLINK("https://www.ebi.ac.uk/ols/ontologies/fbbt/terms?iri=http://purl.obolibrary.org/obo/FBbt_00048071","FBbt:00048071")</f>
        <v>FBbt:00048071</v>
      </c>
      <c r="B5" t="s">
        <v>18</v>
      </c>
      <c r="C5" t="s">
        <v>8</v>
      </c>
      <c r="D5" t="s">
        <v>19</v>
      </c>
      <c r="E5" t="s">
        <v>11</v>
      </c>
    </row>
    <row r="6" spans="1:8" x14ac:dyDescent="0.2">
      <c r="A6" t="str">
        <f>HYPERLINK("https://www.ebi.ac.uk/ols/ontologies/fbbt/terms?iri=http://purl.obolibrary.org/obo/FBbt_00048070","FBbt:00048070")</f>
        <v>FBbt:00048070</v>
      </c>
      <c r="B6" t="s">
        <v>20</v>
      </c>
      <c r="C6" t="s">
        <v>8</v>
      </c>
      <c r="D6" t="s">
        <v>21</v>
      </c>
      <c r="E6" t="s">
        <v>11</v>
      </c>
    </row>
    <row r="7" spans="1:8" x14ac:dyDescent="0.2">
      <c r="A7" t="str">
        <f>HYPERLINK("https://www.ebi.ac.uk/ols/ontologies/fbbt/terms?iri=http://purl.obolibrary.org/obo/FBbt_00111303","FBbt:00111303")</f>
        <v>FBbt:00111303</v>
      </c>
      <c r="B7" t="s">
        <v>22</v>
      </c>
      <c r="C7" t="s">
        <v>23</v>
      </c>
      <c r="D7" t="s">
        <v>24</v>
      </c>
      <c r="E7" t="s">
        <v>25</v>
      </c>
    </row>
    <row r="8" spans="1:8" x14ac:dyDescent="0.2">
      <c r="A8" t="str">
        <f>HYPERLINK("https://www.ebi.ac.uk/ols/ontologies/fbbt/terms?iri=http://purl.obolibrary.org/obo/FBbt_00048066","FBbt:00048066")</f>
        <v>FBbt:00048066</v>
      </c>
      <c r="B8" t="s">
        <v>26</v>
      </c>
      <c r="C8" t="s">
        <v>8</v>
      </c>
      <c r="D8" t="s">
        <v>27</v>
      </c>
      <c r="E8" t="s">
        <v>11</v>
      </c>
    </row>
    <row r="9" spans="1:8" x14ac:dyDescent="0.2">
      <c r="A9" t="str">
        <f>HYPERLINK("https://www.ebi.ac.uk/ols/ontologies/fbbt/terms?iri=http://purl.obolibrary.org/obo/FBbt_00048084","FBbt:00048084")</f>
        <v>FBbt:00048084</v>
      </c>
      <c r="B9" t="s">
        <v>28</v>
      </c>
      <c r="C9" t="s">
        <v>29</v>
      </c>
      <c r="D9" t="s">
        <v>30</v>
      </c>
      <c r="E9" t="s">
        <v>11</v>
      </c>
    </row>
    <row r="10" spans="1:8" x14ac:dyDescent="0.2">
      <c r="A10" t="str">
        <f>HYPERLINK("https://www.ebi.ac.uk/ols/ontologies/fbbt/terms?iri=http://purl.obolibrary.org/obo/FBbt_00048139","FBbt:00048139")</f>
        <v>FBbt:00048139</v>
      </c>
      <c r="B10" t="s">
        <v>31</v>
      </c>
      <c r="C10" t="s">
        <v>32</v>
      </c>
      <c r="D10" t="s">
        <v>33</v>
      </c>
      <c r="E10" t="s">
        <v>34</v>
      </c>
    </row>
    <row r="11" spans="1:8" x14ac:dyDescent="0.2">
      <c r="A11" t="str">
        <f>HYPERLINK("https://www.ebi.ac.uk/ols/ontologies/fbbt/terms?iri=http://purl.obolibrary.org/obo/FBbt_00100101","FBbt:00100101")</f>
        <v>FBbt:00100101</v>
      </c>
      <c r="B11" t="s">
        <v>35</v>
      </c>
      <c r="C11" t="s">
        <v>8</v>
      </c>
      <c r="D11" t="s">
        <v>36</v>
      </c>
      <c r="E11" t="s">
        <v>37</v>
      </c>
    </row>
    <row r="12" spans="1:8" x14ac:dyDescent="0.2">
      <c r="A12" t="str">
        <f>HYPERLINK("https://www.ebi.ac.uk/ols/ontologies/fbbt/terms?iri=http://purl.obolibrary.org/obo/FBbt_00048279","FBbt:00048279")</f>
        <v>FBbt:00048279</v>
      </c>
      <c r="B12" t="s">
        <v>38</v>
      </c>
      <c r="C12" t="s">
        <v>39</v>
      </c>
      <c r="D12" t="s">
        <v>40</v>
      </c>
      <c r="E12" t="s">
        <v>41</v>
      </c>
    </row>
    <row r="13" spans="1:8" x14ac:dyDescent="0.2">
      <c r="A13" t="str">
        <f>HYPERLINK("https://www.ebi.ac.uk/ols/ontologies/fbbt/terms?iri=http://purl.obolibrary.org/obo/FBbt_00048277","FBbt:00048277")</f>
        <v>FBbt:00048277</v>
      </c>
      <c r="B13" t="s">
        <v>42</v>
      </c>
      <c r="C13" t="s">
        <v>43</v>
      </c>
      <c r="D13" t="s">
        <v>44</v>
      </c>
      <c r="E13" t="s">
        <v>41</v>
      </c>
    </row>
    <row r="14" spans="1:8" x14ac:dyDescent="0.2">
      <c r="A14" t="str">
        <f>HYPERLINK("https://www.ebi.ac.uk/ols/ontologies/fbbt/terms?iri=http://purl.obolibrary.org/obo/FBbt_00100104","FBbt:00100104")</f>
        <v>FBbt:00100104</v>
      </c>
      <c r="B14" t="s">
        <v>45</v>
      </c>
      <c r="C14" t="s">
        <v>46</v>
      </c>
      <c r="D14" t="s">
        <v>47</v>
      </c>
      <c r="E14" t="s">
        <v>48</v>
      </c>
    </row>
    <row r="15" spans="1:8" x14ac:dyDescent="0.2">
      <c r="A15" t="str">
        <f>HYPERLINK("https://www.ebi.ac.uk/ols/ontologies/fbbt/terms?iri=http://purl.obolibrary.org/obo/FBbt_00100102","FBbt:00100102")</f>
        <v>FBbt:00100102</v>
      </c>
      <c r="B15" t="s">
        <v>49</v>
      </c>
      <c r="C15" t="s">
        <v>8</v>
      </c>
      <c r="D15" t="s">
        <v>50</v>
      </c>
      <c r="E15" t="s">
        <v>37</v>
      </c>
    </row>
    <row r="16" spans="1:8" x14ac:dyDescent="0.2">
      <c r="A16" t="str">
        <f>HYPERLINK("https://www.ebi.ac.uk/ols/ontologies/fbbt/terms?iri=http://purl.obolibrary.org/obo/FBbt_00003762","FBbt:00003762")</f>
        <v>FBbt:00003762</v>
      </c>
      <c r="B16" t="s">
        <v>51</v>
      </c>
      <c r="C16" t="s">
        <v>52</v>
      </c>
      <c r="D16" t="s">
        <v>53</v>
      </c>
      <c r="E16" t="s">
        <v>54</v>
      </c>
    </row>
    <row r="17" spans="1:5" x14ac:dyDescent="0.2">
      <c r="A17" t="str">
        <f>HYPERLINK("https://www.ebi.ac.uk/ols/ontologies/fbbt/terms?iri=http://purl.obolibrary.org/obo/FBbt_00007386","FBbt:00007386")</f>
        <v>FBbt:00007386</v>
      </c>
      <c r="B17" t="s">
        <v>55</v>
      </c>
      <c r="C17" t="s">
        <v>56</v>
      </c>
      <c r="D17" t="s">
        <v>57</v>
      </c>
      <c r="E17" t="s">
        <v>58</v>
      </c>
    </row>
    <row r="18" spans="1:5" x14ac:dyDescent="0.2">
      <c r="A18" t="str">
        <f>HYPERLINK("https://www.ebi.ac.uk/ols/ontologies/fbbt/terms?iri=http://purl.obolibrary.org/obo/FBbt_00048274","FBbt:00048274")</f>
        <v>FBbt:00048274</v>
      </c>
      <c r="B18" t="s">
        <v>59</v>
      </c>
      <c r="C18" t="s">
        <v>60</v>
      </c>
      <c r="D18" t="s">
        <v>61</v>
      </c>
      <c r="E18" t="s">
        <v>41</v>
      </c>
    </row>
    <row r="19" spans="1:5" x14ac:dyDescent="0.2">
      <c r="A19" t="str">
        <f>HYPERLINK("https://www.ebi.ac.uk/ols/ontologies/fbbt/terms?iri=http://purl.obolibrary.org/obo/FBbt_00048273","FBbt:00048273")</f>
        <v>FBbt:00048273</v>
      </c>
      <c r="B19" t="s">
        <v>62</v>
      </c>
      <c r="C19" t="s">
        <v>63</v>
      </c>
      <c r="D19" t="s">
        <v>64</v>
      </c>
      <c r="E19" t="s">
        <v>41</v>
      </c>
    </row>
    <row r="20" spans="1:5" x14ac:dyDescent="0.2">
      <c r="A20" t="str">
        <f>HYPERLINK("https://www.ebi.ac.uk/ols/ontologies/fbbt/terms?iri=http://purl.obolibrary.org/obo/FBbt_00048270","FBbt:00048270")</f>
        <v>FBbt:00048270</v>
      </c>
      <c r="B20" t="s">
        <v>65</v>
      </c>
      <c r="C20" t="s">
        <v>66</v>
      </c>
      <c r="D20" t="s">
        <v>67</v>
      </c>
      <c r="E20" t="s">
        <v>68</v>
      </c>
    </row>
    <row r="21" spans="1:5" x14ac:dyDescent="0.2">
      <c r="A21" t="str">
        <f>HYPERLINK("https://www.ebi.ac.uk/ols/ontologies/fbbt/terms?iri=http://purl.obolibrary.org/obo/FBbt_00100193","FBbt:00100193")</f>
        <v>FBbt:00100193</v>
      </c>
      <c r="B21" t="s">
        <v>69</v>
      </c>
      <c r="C21" t="s">
        <v>8</v>
      </c>
      <c r="D21" t="s">
        <v>70</v>
      </c>
      <c r="E21" t="s">
        <v>48</v>
      </c>
    </row>
    <row r="22" spans="1:5" x14ac:dyDescent="0.2">
      <c r="A22" t="str">
        <f>HYPERLINK("https://www.ebi.ac.uk/ols/ontologies/fbbt/terms?iri=http://purl.obolibrary.org/obo/FBbt_00047346","FBbt:00047346")</f>
        <v>FBbt:00047346</v>
      </c>
      <c r="B22" t="s">
        <v>71</v>
      </c>
      <c r="C22" t="s">
        <v>72</v>
      </c>
      <c r="D22" t="s">
        <v>73</v>
      </c>
      <c r="E22" t="s">
        <v>74</v>
      </c>
    </row>
    <row r="23" spans="1:5" x14ac:dyDescent="0.2">
      <c r="A23" t="str">
        <f>HYPERLINK("https://www.ebi.ac.uk/ols/ontologies/fbbt/terms?iri=http://purl.obolibrary.org/obo/FBbt_00047222","FBbt:00047222")</f>
        <v>FBbt:00047222</v>
      </c>
      <c r="B23" t="s">
        <v>75</v>
      </c>
      <c r="C23" t="s">
        <v>76</v>
      </c>
      <c r="D23" t="s">
        <v>77</v>
      </c>
      <c r="E23" t="s">
        <v>78</v>
      </c>
    </row>
    <row r="24" spans="1:5" x14ac:dyDescent="0.2">
      <c r="A24" t="str">
        <f>HYPERLINK("https://www.ebi.ac.uk/ols/ontologies/fbbt/terms?iri=http://purl.obolibrary.org/obo/FBbt_00100114","FBbt:00100114")</f>
        <v>FBbt:00100114</v>
      </c>
      <c r="B24" t="s">
        <v>79</v>
      </c>
      <c r="C24" t="s">
        <v>80</v>
      </c>
      <c r="D24" t="s">
        <v>81</v>
      </c>
      <c r="E24" t="s">
        <v>82</v>
      </c>
    </row>
    <row r="25" spans="1:5" x14ac:dyDescent="0.2">
      <c r="A25" t="str">
        <f>HYPERLINK("https://www.ebi.ac.uk/ols/ontologies/fbbt/terms?iri=http://purl.obolibrary.org/obo/FBbt_00100115","FBbt:00100115")</f>
        <v>FBbt:00100115</v>
      </c>
      <c r="B25" t="s">
        <v>83</v>
      </c>
      <c r="C25" t="s">
        <v>84</v>
      </c>
      <c r="D25" t="s">
        <v>85</v>
      </c>
      <c r="E25" t="s">
        <v>82</v>
      </c>
    </row>
    <row r="26" spans="1:5" x14ac:dyDescent="0.2">
      <c r="A26" t="str">
        <f>HYPERLINK("https://www.ebi.ac.uk/ols/ontologies/fbbt/terms?iri=http://purl.obolibrary.org/obo/FBbt_00110886","FBbt:00110886")</f>
        <v>FBbt:00110886</v>
      </c>
      <c r="B26" t="s">
        <v>86</v>
      </c>
      <c r="C26" t="s">
        <v>8</v>
      </c>
      <c r="D26" t="s">
        <v>87</v>
      </c>
      <c r="E26" t="s">
        <v>88</v>
      </c>
    </row>
    <row r="27" spans="1:5" x14ac:dyDescent="0.2">
      <c r="A27" t="str">
        <f>HYPERLINK("https://www.ebi.ac.uk/ols/ontologies/fbbt/terms?iri=http://purl.obolibrary.org/obo/FBbt_00048141","FBbt:00048141")</f>
        <v>FBbt:00048141</v>
      </c>
      <c r="B27" t="s">
        <v>89</v>
      </c>
      <c r="C27" t="s">
        <v>90</v>
      </c>
      <c r="D27" t="s">
        <v>91</v>
      </c>
      <c r="E27" t="s">
        <v>92</v>
      </c>
    </row>
    <row r="28" spans="1:5" x14ac:dyDescent="0.2">
      <c r="A28" t="str">
        <f>HYPERLINK("https://www.ebi.ac.uk/ols/ontologies/fbbt/terms?iri=http://purl.obolibrary.org/obo/FBbt_00110887","FBbt:00110887")</f>
        <v>FBbt:00110887</v>
      </c>
      <c r="B28" t="s">
        <v>93</v>
      </c>
      <c r="C28" t="s">
        <v>8</v>
      </c>
      <c r="D28" t="s">
        <v>94</v>
      </c>
      <c r="E28" t="s">
        <v>95</v>
      </c>
    </row>
    <row r="29" spans="1:5" x14ac:dyDescent="0.2">
      <c r="A29" t="str">
        <f>HYPERLINK("https://www.ebi.ac.uk/ols/ontologies/fbbt/terms?iri=http://purl.obolibrary.org/obo/FBbt_00048140","FBbt:00048140")</f>
        <v>FBbt:00048140</v>
      </c>
      <c r="B29" t="s">
        <v>96</v>
      </c>
      <c r="C29" t="s">
        <v>97</v>
      </c>
      <c r="D29" t="s">
        <v>98</v>
      </c>
      <c r="E29" t="s">
        <v>34</v>
      </c>
    </row>
    <row r="30" spans="1:5" x14ac:dyDescent="0.2">
      <c r="A30" t="str">
        <f>HYPERLINK("https://www.ebi.ac.uk/ols/ontologies/fbbt/terms?iri=http://purl.obolibrary.org/obo/FBbt_00048284","FBbt:00048284")</f>
        <v>FBbt:00048284</v>
      </c>
      <c r="B30" t="s">
        <v>99</v>
      </c>
      <c r="C30" t="s">
        <v>8</v>
      </c>
      <c r="D30" t="s">
        <v>100</v>
      </c>
    </row>
    <row r="31" spans="1:5" x14ac:dyDescent="0.2">
      <c r="A31" t="str">
        <f>HYPERLINK("https://www.ebi.ac.uk/ols/ontologies/fbbt/terms?iri=http://purl.obolibrary.org/obo/FBbt_00048283","FBbt:00048283")</f>
        <v>FBbt:00048283</v>
      </c>
      <c r="B31" t="s">
        <v>101</v>
      </c>
      <c r="C31" t="s">
        <v>102</v>
      </c>
      <c r="D31" t="s">
        <v>103</v>
      </c>
      <c r="E31" t="s">
        <v>41</v>
      </c>
    </row>
    <row r="32" spans="1:5" x14ac:dyDescent="0.2">
      <c r="A32" t="str">
        <f>HYPERLINK("https://www.ebi.ac.uk/ols/ontologies/fbbt/terms?iri=http://purl.obolibrary.org/obo/FBbt_00048281","FBbt:00048281")</f>
        <v>FBbt:00048281</v>
      </c>
      <c r="B32" t="s">
        <v>104</v>
      </c>
      <c r="C32" t="s">
        <v>105</v>
      </c>
      <c r="D32" t="s">
        <v>106</v>
      </c>
      <c r="E32" t="s">
        <v>41</v>
      </c>
    </row>
    <row r="33" spans="1:5" x14ac:dyDescent="0.2">
      <c r="A33" t="str">
        <f>HYPERLINK("https://www.ebi.ac.uk/ols/ontologies/fbbt/terms?iri=http://purl.obolibrary.org/obo/FBbt_00005740","FBbt:00005740")</f>
        <v>FBbt:00005740</v>
      </c>
      <c r="B33" t="s">
        <v>107</v>
      </c>
      <c r="C33" t="s">
        <v>108</v>
      </c>
      <c r="D33" t="s">
        <v>109</v>
      </c>
      <c r="E33" t="s">
        <v>110</v>
      </c>
    </row>
    <row r="34" spans="1:5" x14ac:dyDescent="0.2">
      <c r="A34" t="str">
        <f>HYPERLINK("https://www.ebi.ac.uk/ols/ontologies/fbbt/terms?iri=http://purl.obolibrary.org/obo/FBbt_00047767","FBbt:00047767")</f>
        <v>FBbt:00047767</v>
      </c>
      <c r="B34" t="s">
        <v>111</v>
      </c>
      <c r="C34" t="s">
        <v>112</v>
      </c>
      <c r="D34" t="s">
        <v>113</v>
      </c>
      <c r="E34" t="s">
        <v>114</v>
      </c>
    </row>
    <row r="35" spans="1:5" x14ac:dyDescent="0.2">
      <c r="A35" t="str">
        <f>HYPERLINK("https://www.ebi.ac.uk/ols/ontologies/fbbt/terms?iri=http://purl.obolibrary.org/obo/FBbt_00048297","FBbt:00048297")</f>
        <v>FBbt:00048297</v>
      </c>
      <c r="B35" t="s">
        <v>115</v>
      </c>
      <c r="C35" t="s">
        <v>116</v>
      </c>
      <c r="D35" t="s">
        <v>117</v>
      </c>
      <c r="E35" t="s">
        <v>41</v>
      </c>
    </row>
    <row r="36" spans="1:5" x14ac:dyDescent="0.2">
      <c r="A36" t="str">
        <f>HYPERLINK("https://www.ebi.ac.uk/ols/ontologies/fbbt/terms?iri=http://purl.obolibrary.org/obo/FBbt_00048296","FBbt:00048296")</f>
        <v>FBbt:00048296</v>
      </c>
      <c r="B36" t="s">
        <v>118</v>
      </c>
      <c r="C36" t="s">
        <v>119</v>
      </c>
      <c r="D36" t="s">
        <v>120</v>
      </c>
      <c r="E36" t="s">
        <v>41</v>
      </c>
    </row>
    <row r="37" spans="1:5" x14ac:dyDescent="0.2">
      <c r="A37" t="str">
        <f>HYPERLINK("https://www.ebi.ac.uk/ols/ontologies/fbbt/terms?iri=http://purl.obolibrary.org/obo/FBbt_00047226","FBbt:00047226")</f>
        <v>FBbt:00047226</v>
      </c>
      <c r="B37" t="s">
        <v>121</v>
      </c>
      <c r="C37" t="s">
        <v>8</v>
      </c>
      <c r="D37" t="s">
        <v>122</v>
      </c>
      <c r="E37" t="s">
        <v>123</v>
      </c>
    </row>
    <row r="38" spans="1:5" x14ac:dyDescent="0.2">
      <c r="A38" t="str">
        <f>HYPERLINK("https://www.ebi.ac.uk/ols/ontologies/fbbt/terms?iri=http://purl.obolibrary.org/obo/FBbt_00047225","FBbt:00047225")</f>
        <v>FBbt:00047225</v>
      </c>
      <c r="B38" t="s">
        <v>124</v>
      </c>
      <c r="C38" t="s">
        <v>8</v>
      </c>
      <c r="D38" t="s">
        <v>125</v>
      </c>
      <c r="E38" t="s">
        <v>126</v>
      </c>
    </row>
    <row r="39" spans="1:5" x14ac:dyDescent="0.2">
      <c r="A39" t="str">
        <f>HYPERLINK("https://www.ebi.ac.uk/ols/ontologies/fbbt/terms?iri=http://purl.obolibrary.org/obo/FBbt_00048029","FBbt:00048029")</f>
        <v>FBbt:00048029</v>
      </c>
      <c r="B39" t="s">
        <v>127</v>
      </c>
      <c r="C39" t="s">
        <v>8</v>
      </c>
      <c r="D39" t="s">
        <v>128</v>
      </c>
    </row>
    <row r="40" spans="1:5" x14ac:dyDescent="0.2">
      <c r="A40" t="str">
        <f>HYPERLINK("https://www.ebi.ac.uk/ols/ontologies/fbbt/terms?iri=http://purl.obolibrary.org/obo/FBbt_00004026","FBbt:00004026")</f>
        <v>FBbt:00004026</v>
      </c>
      <c r="B40" t="s">
        <v>129</v>
      </c>
      <c r="C40" t="s">
        <v>130</v>
      </c>
      <c r="D40" t="s">
        <v>131</v>
      </c>
      <c r="E40" t="s">
        <v>37</v>
      </c>
    </row>
    <row r="41" spans="1:5" x14ac:dyDescent="0.2">
      <c r="A41" t="str">
        <f>HYPERLINK("https://www.ebi.ac.uk/ols/ontologies/fbbt/terms?iri=http://purl.obolibrary.org/obo/FBbt_00048027","FBbt:00048027")</f>
        <v>FBbt:00048027</v>
      </c>
      <c r="B41" t="s">
        <v>132</v>
      </c>
      <c r="C41" t="s">
        <v>8</v>
      </c>
      <c r="D41" t="s">
        <v>133</v>
      </c>
      <c r="E41" t="s">
        <v>134</v>
      </c>
    </row>
    <row r="42" spans="1:5" x14ac:dyDescent="0.2">
      <c r="A42" t="str">
        <f>HYPERLINK("https://www.ebi.ac.uk/ols/ontologies/fbbt/terms?iri=http://purl.obolibrary.org/obo/FBbt_00004029","FBbt:00004029")</f>
        <v>FBbt:00004029</v>
      </c>
      <c r="B42" t="s">
        <v>135</v>
      </c>
      <c r="C42" t="s">
        <v>8</v>
      </c>
      <c r="D42" t="s">
        <v>136</v>
      </c>
      <c r="E42" t="s">
        <v>137</v>
      </c>
    </row>
    <row r="43" spans="1:5" x14ac:dyDescent="0.2">
      <c r="A43" t="str">
        <f>HYPERLINK("https://www.ebi.ac.uk/ols/ontologies/fbbt/terms?iri=http://purl.obolibrary.org/obo/FBbt_00100000","FBbt:00100000")</f>
        <v>FBbt:00100000</v>
      </c>
      <c r="B43" t="s">
        <v>138</v>
      </c>
      <c r="C43" t="s">
        <v>139</v>
      </c>
      <c r="D43" t="s">
        <v>140</v>
      </c>
      <c r="E43" t="s">
        <v>141</v>
      </c>
    </row>
    <row r="44" spans="1:5" x14ac:dyDescent="0.2">
      <c r="A44" t="str">
        <f>HYPERLINK("https://www.ebi.ac.uk/ols/ontologies/fbbt/terms?iri=http://purl.obolibrary.org/obo/FBbt_00007333","FBbt:00007333")</f>
        <v>FBbt:00007333</v>
      </c>
      <c r="B44" t="s">
        <v>142</v>
      </c>
      <c r="C44" t="s">
        <v>143</v>
      </c>
      <c r="D44" t="s">
        <v>144</v>
      </c>
      <c r="E44" t="s">
        <v>145</v>
      </c>
    </row>
    <row r="45" spans="1:5" x14ac:dyDescent="0.2">
      <c r="A45" t="str">
        <f>HYPERLINK("https://www.ebi.ac.uk/ols/ontologies/fbbt/terms?iri=http://purl.obolibrary.org/obo/FBbt_00048050","FBbt:00048050")</f>
        <v>FBbt:00048050</v>
      </c>
      <c r="B45" t="s">
        <v>146</v>
      </c>
      <c r="C45" t="s">
        <v>8</v>
      </c>
      <c r="D45" t="s">
        <v>147</v>
      </c>
    </row>
    <row r="46" spans="1:5" x14ac:dyDescent="0.2">
      <c r="A46" t="str">
        <f>HYPERLINK("https://www.ebi.ac.uk/ols/ontologies/fbbt/terms?iri=http://purl.obolibrary.org/obo/FBbt_00048300","FBbt:00048300")</f>
        <v>FBbt:00048300</v>
      </c>
      <c r="B46" t="s">
        <v>148</v>
      </c>
      <c r="C46" t="s">
        <v>149</v>
      </c>
      <c r="D46" t="s">
        <v>150</v>
      </c>
      <c r="E46" t="s">
        <v>151</v>
      </c>
    </row>
    <row r="47" spans="1:5" x14ac:dyDescent="0.2">
      <c r="A47" t="str">
        <f>HYPERLINK("https://www.ebi.ac.uk/ols/ontologies/fbbt/terms?iri=http://purl.obolibrary.org/obo/FBbt_00004186","FBbt:00004186")</f>
        <v>FBbt:00004186</v>
      </c>
      <c r="B47" t="s">
        <v>152</v>
      </c>
      <c r="C47" t="s">
        <v>153</v>
      </c>
      <c r="D47" t="s">
        <v>154</v>
      </c>
      <c r="E47" t="s">
        <v>155</v>
      </c>
    </row>
    <row r="48" spans="1:5" x14ac:dyDescent="0.2">
      <c r="A48" t="str">
        <f>HYPERLINK("https://www.ebi.ac.uk/ols/ontologies/fbbt/terms?iri=http://purl.obolibrary.org/obo/FBbt_00006009","FBbt:00006009")</f>
        <v>FBbt:00006009</v>
      </c>
      <c r="B48" t="s">
        <v>156</v>
      </c>
      <c r="C48" t="s">
        <v>157</v>
      </c>
      <c r="D48" t="s">
        <v>158</v>
      </c>
      <c r="E48" t="s">
        <v>159</v>
      </c>
    </row>
    <row r="49" spans="1:5" x14ac:dyDescent="0.2">
      <c r="A49" t="str">
        <f>HYPERLINK("https://www.ebi.ac.uk/ols/ontologies/fbbt/terms?iri=http://purl.obolibrary.org/obo/FBbt_00004242","FBbt:00004242")</f>
        <v>FBbt:00004242</v>
      </c>
      <c r="B49" t="s">
        <v>160</v>
      </c>
      <c r="C49" t="s">
        <v>161</v>
      </c>
      <c r="D49" t="s">
        <v>162</v>
      </c>
      <c r="E49" t="s">
        <v>163</v>
      </c>
    </row>
    <row r="50" spans="1:5" x14ac:dyDescent="0.2">
      <c r="A50" t="str">
        <f>HYPERLINK("https://www.ebi.ac.uk/ols/ontologies/fbbt/terms?iri=http://purl.obolibrary.org/obo/FBbt_00007575","FBbt:00007575")</f>
        <v>FBbt:00007575</v>
      </c>
      <c r="B50" t="s">
        <v>164</v>
      </c>
      <c r="C50" t="s">
        <v>165</v>
      </c>
      <c r="D50" t="s">
        <v>166</v>
      </c>
      <c r="E50" t="s">
        <v>167</v>
      </c>
    </row>
    <row r="51" spans="1:5" x14ac:dyDescent="0.2">
      <c r="A51" t="str">
        <f>HYPERLINK("https://www.ebi.ac.uk/ols/ontologies/fbbt/terms?iri=http://purl.obolibrary.org/obo/FBbt_00007576","FBbt:00007576")</f>
        <v>FBbt:00007576</v>
      </c>
      <c r="B51" t="s">
        <v>168</v>
      </c>
      <c r="C51" t="s">
        <v>169</v>
      </c>
      <c r="D51" t="s">
        <v>170</v>
      </c>
      <c r="E51" t="s">
        <v>171</v>
      </c>
    </row>
    <row r="52" spans="1:5" x14ac:dyDescent="0.2">
      <c r="A52" t="str">
        <f>HYPERLINK("https://www.ebi.ac.uk/ols/ontologies/fbbt/terms?iri=http://purl.obolibrary.org/obo/FBbt_00048276","FBbt:00048276")</f>
        <v>FBbt:00048276</v>
      </c>
      <c r="B52" t="s">
        <v>172</v>
      </c>
      <c r="C52" t="s">
        <v>173</v>
      </c>
      <c r="D52" t="s">
        <v>174</v>
      </c>
      <c r="E52" t="s">
        <v>41</v>
      </c>
    </row>
    <row r="53" spans="1:5" x14ac:dyDescent="0.2">
      <c r="A53" t="str">
        <f>HYPERLINK("https://www.ebi.ac.uk/ols/ontologies/fbbt/terms?iri=http://purl.obolibrary.org/obo/FBbt_00048275","FBbt:00048275")</f>
        <v>FBbt:00048275</v>
      </c>
      <c r="B53" t="s">
        <v>175</v>
      </c>
      <c r="C53" t="s">
        <v>176</v>
      </c>
      <c r="D53" t="s">
        <v>177</v>
      </c>
      <c r="E53" t="s">
        <v>41</v>
      </c>
    </row>
    <row r="54" spans="1:5" x14ac:dyDescent="0.2">
      <c r="A54" t="str">
        <f>HYPERLINK("https://www.ebi.ac.uk/ols/ontologies/fbbt/terms?iri=http://purl.obolibrary.org/obo/FBbt_00100020","FBbt:00100020")</f>
        <v>FBbt:00100020</v>
      </c>
      <c r="B54" t="s">
        <v>178</v>
      </c>
      <c r="C54" t="s">
        <v>179</v>
      </c>
      <c r="D54" t="s">
        <v>180</v>
      </c>
      <c r="E54" t="s">
        <v>181</v>
      </c>
    </row>
    <row r="55" spans="1:5" x14ac:dyDescent="0.2">
      <c r="A55" t="str">
        <f>HYPERLINK("https://www.ebi.ac.uk/ols/ontologies/fbbt/terms?iri=http://purl.obolibrary.org/obo/FBbt_00100021","FBbt:00100021")</f>
        <v>FBbt:00100021</v>
      </c>
      <c r="B55" t="s">
        <v>182</v>
      </c>
      <c r="C55" t="s">
        <v>183</v>
      </c>
      <c r="D55" t="s">
        <v>184</v>
      </c>
      <c r="E55" t="s">
        <v>185</v>
      </c>
    </row>
    <row r="56" spans="1:5" x14ac:dyDescent="0.2">
      <c r="A56" t="str">
        <f>HYPERLINK("https://www.ebi.ac.uk/ols/ontologies/fbbt/terms?iri=http://purl.obolibrary.org/obo/FBbt_00100105","FBbt:00100105")</f>
        <v>FBbt:00100105</v>
      </c>
      <c r="B56" t="s">
        <v>186</v>
      </c>
      <c r="C56" t="s">
        <v>187</v>
      </c>
      <c r="D56" t="s">
        <v>188</v>
      </c>
      <c r="E56" t="s">
        <v>48</v>
      </c>
    </row>
    <row r="57" spans="1:5" x14ac:dyDescent="0.2">
      <c r="A57" t="str">
        <f>HYPERLINK("https://www.ebi.ac.uk/ols/ontologies/fbbt/terms?iri=http://purl.obolibrary.org/obo/FBbt_00111644","FBbt:00111644")</f>
        <v>FBbt:00111644</v>
      </c>
      <c r="B57" t="s">
        <v>189</v>
      </c>
      <c r="C57" t="s">
        <v>8</v>
      </c>
      <c r="D57" t="s">
        <v>190</v>
      </c>
      <c r="E57" t="s">
        <v>191</v>
      </c>
    </row>
    <row r="58" spans="1:5" x14ac:dyDescent="0.2">
      <c r="A58" t="str">
        <f>HYPERLINK("https://www.ebi.ac.uk/ols/ontologies/fbbt/terms?iri=http://purl.obolibrary.org/obo/FBbt_00100190","FBbt:00100190")</f>
        <v>FBbt:00100190</v>
      </c>
      <c r="B58" t="s">
        <v>192</v>
      </c>
      <c r="C58" t="s">
        <v>193</v>
      </c>
      <c r="D58" t="s">
        <v>194</v>
      </c>
      <c r="E58" t="s">
        <v>48</v>
      </c>
    </row>
    <row r="59" spans="1:5" x14ac:dyDescent="0.2">
      <c r="A59" t="str">
        <f>HYPERLINK("https://www.ebi.ac.uk/ols/ontologies/fbbt/terms?iri=http://purl.obolibrary.org/obo/FBbt_00100195","FBbt:00100195")</f>
        <v>FBbt:00100195</v>
      </c>
      <c r="B59" t="s">
        <v>195</v>
      </c>
      <c r="C59" t="s">
        <v>196</v>
      </c>
      <c r="D59" t="s">
        <v>197</v>
      </c>
      <c r="E59" t="s">
        <v>48</v>
      </c>
    </row>
    <row r="60" spans="1:5" x14ac:dyDescent="0.2">
      <c r="A60" t="str">
        <f>HYPERLINK("https://www.ebi.ac.uk/ols/ontologies/fbbt/terms?iri=http://purl.obolibrary.org/obo/FBbt_00100194","FBbt:00100194")</f>
        <v>FBbt:00100194</v>
      </c>
      <c r="B60" t="s">
        <v>198</v>
      </c>
      <c r="C60" t="s">
        <v>8</v>
      </c>
      <c r="D60" t="s">
        <v>199</v>
      </c>
      <c r="E60" t="s">
        <v>48</v>
      </c>
    </row>
    <row r="61" spans="1:5" x14ac:dyDescent="0.2">
      <c r="A61" t="str">
        <f>HYPERLINK("https://www.ebi.ac.uk/ols/ontologies/fbbt/terms?iri=http://purl.obolibrary.org/obo/FBbt_00048034","FBbt:00048034")</f>
        <v>FBbt:00048034</v>
      </c>
      <c r="B61" t="s">
        <v>200</v>
      </c>
      <c r="C61" t="s">
        <v>8</v>
      </c>
      <c r="D61" t="s">
        <v>201</v>
      </c>
      <c r="E61" t="s">
        <v>202</v>
      </c>
    </row>
    <row r="62" spans="1:5" x14ac:dyDescent="0.2">
      <c r="A62" t="str">
        <f>HYPERLINK("https://www.ebi.ac.uk/ols/ontologies/fbbt/terms?iri=http://purl.obolibrary.org/obo/FBbt_00100196","FBbt:00100196")</f>
        <v>FBbt:00100196</v>
      </c>
      <c r="B62" t="s">
        <v>203</v>
      </c>
      <c r="C62" t="s">
        <v>8</v>
      </c>
      <c r="D62" t="s">
        <v>204</v>
      </c>
      <c r="E62" t="s">
        <v>48</v>
      </c>
    </row>
    <row r="63" spans="1:5" x14ac:dyDescent="0.2">
      <c r="A63" t="str">
        <f>HYPERLINK("https://www.ebi.ac.uk/ols/ontologies/fbbt/terms?iri=http://purl.obolibrary.org/obo/FBbt_00100197","FBbt:00100197")</f>
        <v>FBbt:00100197</v>
      </c>
      <c r="B63" t="s">
        <v>205</v>
      </c>
      <c r="C63" t="s">
        <v>8</v>
      </c>
      <c r="D63" t="s">
        <v>206</v>
      </c>
      <c r="E63" t="s">
        <v>48</v>
      </c>
    </row>
    <row r="64" spans="1:5" x14ac:dyDescent="0.2">
      <c r="A64" t="str">
        <f>HYPERLINK("https://www.ebi.ac.uk/ols/ontologies/fbbt/terms?iri=http://purl.obolibrary.org/obo/FBbt_00004207","FBbt:00004207")</f>
        <v>FBbt:00004207</v>
      </c>
      <c r="B64" t="s">
        <v>207</v>
      </c>
      <c r="C64" t="s">
        <v>8</v>
      </c>
      <c r="D64" t="s">
        <v>208</v>
      </c>
      <c r="E64" t="s">
        <v>209</v>
      </c>
    </row>
    <row r="65" spans="1:5" x14ac:dyDescent="0.2">
      <c r="A65" t="str">
        <f>HYPERLINK("https://www.ebi.ac.uk/ols/ontologies/fbbt/terms?iri=http://purl.obolibrary.org/obo/FBbt_00100110","FBbt:00100110")</f>
        <v>FBbt:00100110</v>
      </c>
      <c r="B65" t="s">
        <v>210</v>
      </c>
      <c r="C65" t="s">
        <v>211</v>
      </c>
      <c r="D65" t="s">
        <v>212</v>
      </c>
      <c r="E65" t="s">
        <v>48</v>
      </c>
    </row>
    <row r="66" spans="1:5" x14ac:dyDescent="0.2">
      <c r="A66" t="str">
        <f>HYPERLINK("https://www.ebi.ac.uk/ols/ontologies/fbbt/terms?iri=http://purl.obolibrary.org/obo/FBbt_00100133","FBbt:00100133")</f>
        <v>FBbt:00100133</v>
      </c>
      <c r="B66" t="s">
        <v>213</v>
      </c>
      <c r="C66" t="s">
        <v>8</v>
      </c>
      <c r="D66" t="s">
        <v>214</v>
      </c>
      <c r="E66" t="s">
        <v>215</v>
      </c>
    </row>
    <row r="67" spans="1:5" x14ac:dyDescent="0.2">
      <c r="A67" t="str">
        <f>HYPERLINK("https://www.ebi.ac.uk/ols/ontologies/fbbt/terms?iri=http://purl.obolibrary.org/obo/FBbt_00100111","FBbt:00100111")</f>
        <v>FBbt:00100111</v>
      </c>
      <c r="B67" t="s">
        <v>216</v>
      </c>
      <c r="C67" t="s">
        <v>217</v>
      </c>
      <c r="D67" t="s">
        <v>218</v>
      </c>
      <c r="E67" t="s">
        <v>48</v>
      </c>
    </row>
    <row r="68" spans="1:5" x14ac:dyDescent="0.2">
      <c r="A68" t="str">
        <f>HYPERLINK("https://www.ebi.ac.uk/ols/ontologies/fbbt/terms?iri=http://purl.obolibrary.org/obo/FBbt_00100135","FBbt:00100135")</f>
        <v>FBbt:00100135</v>
      </c>
      <c r="B68" t="s">
        <v>219</v>
      </c>
      <c r="C68" t="s">
        <v>8</v>
      </c>
      <c r="D68" t="s">
        <v>220</v>
      </c>
      <c r="E68" t="s">
        <v>215</v>
      </c>
    </row>
    <row r="69" spans="1:5" x14ac:dyDescent="0.2">
      <c r="A69" t="str">
        <f>HYPERLINK("https://www.ebi.ac.uk/ols/ontologies/fbbt/terms?iri=http://purl.obolibrary.org/obo/FBbt_00100116","FBbt:00100116")</f>
        <v>FBbt:00100116</v>
      </c>
      <c r="B69" t="s">
        <v>221</v>
      </c>
      <c r="C69" t="s">
        <v>222</v>
      </c>
      <c r="D69" t="s">
        <v>223</v>
      </c>
      <c r="E69" t="s">
        <v>224</v>
      </c>
    </row>
    <row r="70" spans="1:5" x14ac:dyDescent="0.2">
      <c r="A70" t="str">
        <f>HYPERLINK("https://www.ebi.ac.uk/ols/ontologies/fbbt/terms?iri=http://purl.obolibrary.org/obo/FBbt_00100137","FBbt:00100137")</f>
        <v>FBbt:00100137</v>
      </c>
      <c r="B70" t="s">
        <v>225</v>
      </c>
      <c r="C70" t="s">
        <v>8</v>
      </c>
      <c r="D70" t="s">
        <v>226</v>
      </c>
      <c r="E70" t="s">
        <v>215</v>
      </c>
    </row>
    <row r="71" spans="1:5" x14ac:dyDescent="0.2">
      <c r="A71" t="str">
        <f>HYPERLINK("https://www.ebi.ac.uk/ols/ontologies/fbbt/terms?iri=http://purl.obolibrary.org/obo/FBbt_00003763","FBbt:00003763")</f>
        <v>FBbt:00003763</v>
      </c>
      <c r="B71" t="s">
        <v>227</v>
      </c>
      <c r="C71" t="s">
        <v>228</v>
      </c>
      <c r="D71" t="s">
        <v>229</v>
      </c>
      <c r="E71" t="s">
        <v>230</v>
      </c>
    </row>
    <row r="72" spans="1:5" x14ac:dyDescent="0.2">
      <c r="A72" t="str">
        <f>HYPERLINK("https://www.ebi.ac.uk/ols/ontologies/fbbt/terms?iri=http://purl.obolibrary.org/obo/FBbt_00100118","FBbt:00100118")</f>
        <v>FBbt:00100118</v>
      </c>
      <c r="B72" t="s">
        <v>231</v>
      </c>
      <c r="C72" t="s">
        <v>232</v>
      </c>
      <c r="D72" t="s">
        <v>233</v>
      </c>
      <c r="E72" t="s">
        <v>48</v>
      </c>
    </row>
    <row r="73" spans="1:5" x14ac:dyDescent="0.2">
      <c r="A73" t="str">
        <f>HYPERLINK("https://www.ebi.ac.uk/ols/ontologies/fbbt/terms?iri=http://purl.obolibrary.org/obo/FBbt_00003764","FBbt:00003764")</f>
        <v>FBbt:00003764</v>
      </c>
      <c r="B73" t="s">
        <v>234</v>
      </c>
      <c r="C73" t="s">
        <v>235</v>
      </c>
      <c r="D73" t="s">
        <v>236</v>
      </c>
      <c r="E73" t="s">
        <v>237</v>
      </c>
    </row>
    <row r="74" spans="1:5" x14ac:dyDescent="0.2">
      <c r="A74" t="str">
        <f>HYPERLINK("https://www.ebi.ac.uk/ols/ontologies/fbbt/terms?iri=http://purl.obolibrary.org/obo/FBbt_00100117","FBbt:00100117")</f>
        <v>FBbt:00100117</v>
      </c>
      <c r="B74" t="s">
        <v>238</v>
      </c>
      <c r="C74" t="s">
        <v>239</v>
      </c>
      <c r="D74" t="s">
        <v>240</v>
      </c>
      <c r="E74" t="s">
        <v>48</v>
      </c>
    </row>
    <row r="75" spans="1:5" x14ac:dyDescent="0.2">
      <c r="A75" t="str">
        <f>HYPERLINK("https://www.ebi.ac.uk/ols/ontologies/fbbt/terms?iri=http://purl.obolibrary.org/obo/FBbt_00048294","FBbt:00048294")</f>
        <v>FBbt:00048294</v>
      </c>
      <c r="B75" t="s">
        <v>241</v>
      </c>
      <c r="C75" t="s">
        <v>242</v>
      </c>
      <c r="D75" t="s">
        <v>243</v>
      </c>
      <c r="E75" t="s">
        <v>41</v>
      </c>
    </row>
    <row r="76" spans="1:5" x14ac:dyDescent="0.2">
      <c r="A76" t="str">
        <f>HYPERLINK("https://www.ebi.ac.uk/ols/ontologies/fbbt/terms?iri=http://purl.obolibrary.org/obo/FBbt_00100120","FBbt:00100120")</f>
        <v>FBbt:00100120</v>
      </c>
      <c r="B76" t="s">
        <v>244</v>
      </c>
      <c r="C76" t="s">
        <v>245</v>
      </c>
      <c r="D76" t="s">
        <v>246</v>
      </c>
      <c r="E76" t="s">
        <v>82</v>
      </c>
    </row>
    <row r="77" spans="1:5" x14ac:dyDescent="0.2">
      <c r="A77" t="str">
        <f>HYPERLINK("https://www.ebi.ac.uk/ols/ontologies/fbbt/terms?iri=http://purl.obolibrary.org/obo/FBbt_00100122","FBbt:00100122")</f>
        <v>FBbt:00100122</v>
      </c>
      <c r="B77" t="s">
        <v>247</v>
      </c>
      <c r="C77" t="s">
        <v>248</v>
      </c>
      <c r="D77" t="s">
        <v>249</v>
      </c>
      <c r="E77" t="s">
        <v>82</v>
      </c>
    </row>
    <row r="78" spans="1:5" x14ac:dyDescent="0.2">
      <c r="A78" t="str">
        <f>HYPERLINK("https://www.ebi.ac.uk/ols/ontologies/fbbt/terms?iri=http://purl.obolibrary.org/obo/FBbt_00006007","FBbt:00006007")</f>
        <v>FBbt:00006007</v>
      </c>
      <c r="B78" t="s">
        <v>250</v>
      </c>
      <c r="C78" t="s">
        <v>251</v>
      </c>
      <c r="D78" t="s">
        <v>252</v>
      </c>
      <c r="E78" t="s">
        <v>253</v>
      </c>
    </row>
    <row r="79" spans="1:5" x14ac:dyDescent="0.2">
      <c r="A79" t="str">
        <f>HYPERLINK("https://www.ebi.ac.uk/ols/ontologies/fbbt/terms?iri=http://purl.obolibrary.org/obo/FBbt_00100125","FBbt:00100125")</f>
        <v>FBbt:00100125</v>
      </c>
      <c r="B79" t="s">
        <v>254</v>
      </c>
      <c r="C79" t="s">
        <v>255</v>
      </c>
      <c r="D79" t="s">
        <v>256</v>
      </c>
      <c r="E79" t="s">
        <v>82</v>
      </c>
    </row>
    <row r="80" spans="1:5" x14ac:dyDescent="0.2">
      <c r="A80" t="str">
        <f>HYPERLINK("https://www.ebi.ac.uk/ols/ontologies/fbbt/terms?iri=http://purl.obolibrary.org/obo/FBbt_00006008","FBbt:00006008")</f>
        <v>FBbt:00006008</v>
      </c>
      <c r="B80" t="s">
        <v>257</v>
      </c>
      <c r="C80" t="s">
        <v>8</v>
      </c>
      <c r="D80" t="s">
        <v>258</v>
      </c>
      <c r="E80" t="s">
        <v>259</v>
      </c>
    </row>
    <row r="81" spans="1:5" x14ac:dyDescent="0.2">
      <c r="A81" t="str">
        <f>HYPERLINK("https://www.ebi.ac.uk/ols/ontologies/fbbt/terms?iri=http://purl.obolibrary.org/obo/FBbt_00100124","FBbt:00100124")</f>
        <v>FBbt:00100124</v>
      </c>
      <c r="B81" t="s">
        <v>260</v>
      </c>
      <c r="C81" t="s">
        <v>261</v>
      </c>
      <c r="D81" t="s">
        <v>262</v>
      </c>
      <c r="E81" t="s">
        <v>82</v>
      </c>
    </row>
    <row r="82" spans="1:5" x14ac:dyDescent="0.2">
      <c r="A82" t="str">
        <f>HYPERLINK("https://www.ebi.ac.uk/ols/ontologies/fbbt/terms?iri=http://purl.obolibrary.org/obo/FBbt_00047485","FBbt:00047485")</f>
        <v>FBbt:00047485</v>
      </c>
      <c r="B82" t="s">
        <v>263</v>
      </c>
      <c r="C82" t="s">
        <v>8</v>
      </c>
      <c r="D82" t="s">
        <v>264</v>
      </c>
      <c r="E82" t="s">
        <v>265</v>
      </c>
    </row>
    <row r="83" spans="1:5" x14ac:dyDescent="0.2">
      <c r="A83" t="str">
        <f>HYPERLINK("https://www.ebi.ac.uk/ols/ontologies/fbbt/terms?iri=http://purl.obolibrary.org/obo/FBbt_00100127","FBbt:00100127")</f>
        <v>FBbt:00100127</v>
      </c>
      <c r="B83" t="s">
        <v>266</v>
      </c>
      <c r="C83" t="s">
        <v>267</v>
      </c>
      <c r="D83" t="s">
        <v>268</v>
      </c>
      <c r="E83" t="s">
        <v>82</v>
      </c>
    </row>
    <row r="84" spans="1:5" x14ac:dyDescent="0.2">
      <c r="A84" t="str">
        <f>HYPERLINK("https://www.ebi.ac.uk/ols/ontologies/fbbt/terms?iri=http://purl.obolibrary.org/obo/FBbt_00100126","FBbt:00100126")</f>
        <v>FBbt:00100126</v>
      </c>
      <c r="B84" t="s">
        <v>269</v>
      </c>
      <c r="C84" t="s">
        <v>270</v>
      </c>
      <c r="D84" t="s">
        <v>271</v>
      </c>
      <c r="E84" t="s">
        <v>82</v>
      </c>
    </row>
    <row r="85" spans="1:5" x14ac:dyDescent="0.2">
      <c r="A85" t="str">
        <f>HYPERLINK("https://www.ebi.ac.uk/ols/ontologies/fbbt/terms?iri=http://purl.obolibrary.org/obo/FBbt_00100128","FBbt:00100128")</f>
        <v>FBbt:00100128</v>
      </c>
      <c r="B85" t="s">
        <v>272</v>
      </c>
      <c r="C85" t="s">
        <v>273</v>
      </c>
      <c r="D85" t="s">
        <v>274</v>
      </c>
      <c r="E85" t="s">
        <v>82</v>
      </c>
    </row>
    <row r="86" spans="1:5" x14ac:dyDescent="0.2">
      <c r="A86" t="str">
        <f>HYPERLINK("https://www.ebi.ac.uk/ols/ontologies/fbbt/terms?iri=http://purl.obolibrary.org/obo/FBbt_00048322","FBbt:00048322")</f>
        <v>FBbt:00048322</v>
      </c>
      <c r="B86" t="s">
        <v>275</v>
      </c>
      <c r="C86" t="s">
        <v>276</v>
      </c>
      <c r="D86" t="s">
        <v>277</v>
      </c>
      <c r="E86" t="s">
        <v>191</v>
      </c>
    </row>
    <row r="87" spans="1:5" x14ac:dyDescent="0.2">
      <c r="A87" t="str">
        <f>HYPERLINK("https://www.ebi.ac.uk/ols/ontologies/fbbt/terms?iri=http://purl.obolibrary.org/obo/FBbt_00048321","FBbt:00048321")</f>
        <v>FBbt:00048321</v>
      </c>
      <c r="B87" t="s">
        <v>278</v>
      </c>
      <c r="C87" t="s">
        <v>279</v>
      </c>
      <c r="D87" t="s">
        <v>280</v>
      </c>
      <c r="E87" t="s">
        <v>281</v>
      </c>
    </row>
    <row r="88" spans="1:5" x14ac:dyDescent="0.2">
      <c r="A88" t="str">
        <f>HYPERLINK("https://www.ebi.ac.uk/ols/ontologies/fbbt/terms?iri=http://purl.obolibrary.org/obo/FBbt_00004031","FBbt:00004031")</f>
        <v>FBbt:00004031</v>
      </c>
      <c r="B88" t="s">
        <v>282</v>
      </c>
      <c r="C88" t="s">
        <v>8</v>
      </c>
      <c r="D88" t="s">
        <v>283</v>
      </c>
      <c r="E88" t="s">
        <v>137</v>
      </c>
    </row>
    <row r="89" spans="1:5" x14ac:dyDescent="0.2">
      <c r="A89" t="str">
        <f>HYPERLINK("https://www.ebi.ac.uk/ols/ontologies/fbbt/terms?iri=http://purl.obolibrary.org/obo/FBbt_00047313","FBbt:00047313")</f>
        <v>FBbt:00047313</v>
      </c>
      <c r="B89" t="s">
        <v>284</v>
      </c>
      <c r="C89" t="s">
        <v>285</v>
      </c>
      <c r="D89" t="s">
        <v>286</v>
      </c>
      <c r="E89" t="s">
        <v>287</v>
      </c>
    </row>
    <row r="90" spans="1:5" x14ac:dyDescent="0.2">
      <c r="A90" t="str">
        <f>HYPERLINK("https://www.ebi.ac.uk/ols/ontologies/fbbt/terms?iri=http://purl.obolibrary.org/obo/FBbt_00004030","FBbt:00004030")</f>
        <v>FBbt:00004030</v>
      </c>
      <c r="B90" t="s">
        <v>288</v>
      </c>
      <c r="C90" t="s">
        <v>8</v>
      </c>
      <c r="D90" t="s">
        <v>289</v>
      </c>
      <c r="E90" t="s">
        <v>137</v>
      </c>
    </row>
    <row r="91" spans="1:5" x14ac:dyDescent="0.2">
      <c r="A91" t="str">
        <f>HYPERLINK("https://www.ebi.ac.uk/ols/ontologies/fbbt/terms?iri=http://purl.obolibrary.org/obo/FBbt_00100044","FBbt:00100044")</f>
        <v>FBbt:00100044</v>
      </c>
      <c r="B91" t="s">
        <v>290</v>
      </c>
      <c r="C91" t="s">
        <v>291</v>
      </c>
      <c r="D91" t="s">
        <v>292</v>
      </c>
      <c r="E91" t="s">
        <v>293</v>
      </c>
    </row>
    <row r="92" spans="1:5" x14ac:dyDescent="0.2">
      <c r="A92" t="str">
        <f>HYPERLINK("https://www.ebi.ac.uk/ols/ontologies/fbbt/terms?iri=http://purl.obolibrary.org/obo/FBbt_00100043","FBbt:00100043")</f>
        <v>FBbt:00100043</v>
      </c>
      <c r="B92" t="s">
        <v>294</v>
      </c>
      <c r="C92" t="s">
        <v>295</v>
      </c>
      <c r="D92" t="s">
        <v>296</v>
      </c>
      <c r="E92" t="s">
        <v>297</v>
      </c>
    </row>
    <row r="93" spans="1:5" x14ac:dyDescent="0.2">
      <c r="A93" t="str">
        <f>HYPERLINK("https://www.ebi.ac.uk/ols/ontologies/fbbt/terms?iri=http://purl.obolibrary.org/obo/FBbt_00047769","FBbt:00047769")</f>
        <v>FBbt:00047769</v>
      </c>
      <c r="B93" t="s">
        <v>298</v>
      </c>
      <c r="C93" t="s">
        <v>299</v>
      </c>
      <c r="D93" t="s">
        <v>300</v>
      </c>
      <c r="E93" t="s">
        <v>301</v>
      </c>
    </row>
    <row r="94" spans="1:5" x14ac:dyDescent="0.2">
      <c r="A94" t="str">
        <f>HYPERLINK("https://www.ebi.ac.uk/ols/ontologies/fbbt/terms?iri=http://purl.obolibrary.org/obo/FBbt_00048210","FBbt:00048210")</f>
        <v>FBbt:00048210</v>
      </c>
      <c r="B94" t="s">
        <v>302</v>
      </c>
      <c r="C94" t="s">
        <v>8</v>
      </c>
      <c r="D94" t="s">
        <v>303</v>
      </c>
      <c r="E94" t="s">
        <v>304</v>
      </c>
    </row>
    <row r="95" spans="1:5" x14ac:dyDescent="0.2">
      <c r="A95" t="str">
        <f>HYPERLINK("https://www.ebi.ac.uk/ols/ontologies/fbbt/terms?iri=http://purl.obolibrary.org/obo/FBbt_00047768","FBbt:00047768")</f>
        <v>FBbt:00047768</v>
      </c>
      <c r="B95" t="s">
        <v>305</v>
      </c>
      <c r="C95" t="s">
        <v>306</v>
      </c>
      <c r="D95" t="s">
        <v>307</v>
      </c>
      <c r="E95" t="s">
        <v>301</v>
      </c>
    </row>
    <row r="96" spans="1:5" x14ac:dyDescent="0.2">
      <c r="A96" t="str">
        <f>HYPERLINK("https://www.ebi.ac.uk/ols/ontologies/fbbt/terms?iri=http://purl.obolibrary.org/obo/FBbt_00004036","FBbt:00004036")</f>
        <v>FBbt:00004036</v>
      </c>
      <c r="B96" t="s">
        <v>308</v>
      </c>
      <c r="C96" t="s">
        <v>8</v>
      </c>
      <c r="D96" t="s">
        <v>309</v>
      </c>
      <c r="E96" t="s">
        <v>137</v>
      </c>
    </row>
    <row r="97" spans="1:5" x14ac:dyDescent="0.2">
      <c r="A97" t="str">
        <f>HYPERLINK("https://www.ebi.ac.uk/ols/ontologies/fbbt/terms?iri=http://purl.obolibrary.org/obo/FBbt_00004035","FBbt:00004035")</f>
        <v>FBbt:00004035</v>
      </c>
      <c r="B97" t="s">
        <v>310</v>
      </c>
      <c r="C97" t="s">
        <v>8</v>
      </c>
      <c r="D97" t="s">
        <v>311</v>
      </c>
      <c r="E97" t="s">
        <v>137</v>
      </c>
    </row>
    <row r="98" spans="1:5" x14ac:dyDescent="0.2">
      <c r="A98" t="str">
        <f>HYPERLINK("https://www.ebi.ac.uk/ols/ontologies/fbbt/terms?iri=http://purl.obolibrary.org/obo/FBbt_00004034","FBbt:00004034")</f>
        <v>FBbt:00004034</v>
      </c>
      <c r="B98" t="s">
        <v>312</v>
      </c>
      <c r="C98" t="s">
        <v>8</v>
      </c>
      <c r="D98" t="s">
        <v>313</v>
      </c>
      <c r="E98" t="s">
        <v>137</v>
      </c>
    </row>
    <row r="99" spans="1:5" x14ac:dyDescent="0.2">
      <c r="A99" t="str">
        <f>HYPERLINK("https://www.ebi.ac.uk/ols/ontologies/fbbt/terms?iri=http://purl.obolibrary.org/obo/FBbt_00004033","FBbt:00004033")</f>
        <v>FBbt:00004033</v>
      </c>
      <c r="B99" t="s">
        <v>314</v>
      </c>
      <c r="C99" t="s">
        <v>8</v>
      </c>
      <c r="D99" t="s">
        <v>315</v>
      </c>
      <c r="E99" t="s">
        <v>137</v>
      </c>
    </row>
    <row r="100" spans="1:5" x14ac:dyDescent="0.2">
      <c r="A100" t="str">
        <f>HYPERLINK("https://www.ebi.ac.uk/ols/ontologies/fbbt/terms?iri=http://purl.obolibrary.org/obo/FBbt_00100042","FBbt:00100042")</f>
        <v>FBbt:00100042</v>
      </c>
      <c r="B100" t="s">
        <v>316</v>
      </c>
      <c r="C100" t="s">
        <v>317</v>
      </c>
      <c r="D100" t="s">
        <v>318</v>
      </c>
      <c r="E100" t="s">
        <v>297</v>
      </c>
    </row>
    <row r="101" spans="1:5" x14ac:dyDescent="0.2">
      <c r="A101" t="str">
        <f>HYPERLINK("https://www.ebi.ac.uk/ols/ontologies/fbbt/terms?iri=http://purl.obolibrary.org/obo/FBbt_00004032","FBbt:00004032")</f>
        <v>FBbt:00004032</v>
      </c>
      <c r="B101" t="s">
        <v>319</v>
      </c>
      <c r="C101" t="s">
        <v>8</v>
      </c>
      <c r="D101" t="s">
        <v>320</v>
      </c>
      <c r="E101" t="s">
        <v>137</v>
      </c>
    </row>
    <row r="102" spans="1:5" x14ac:dyDescent="0.2">
      <c r="A102" t="str">
        <f>HYPERLINK("https://www.ebi.ac.uk/ols/ontologies/fbbt/terms?iri=http://purl.obolibrary.org/obo/FBbt_00100041","FBbt:00100041")</f>
        <v>FBbt:00100041</v>
      </c>
      <c r="B102" t="s">
        <v>321</v>
      </c>
      <c r="C102" t="s">
        <v>322</v>
      </c>
      <c r="D102" t="s">
        <v>323</v>
      </c>
      <c r="E102" t="s">
        <v>324</v>
      </c>
    </row>
    <row r="103" spans="1:5" x14ac:dyDescent="0.2">
      <c r="A103" t="str">
        <f>HYPERLINK("https://www.ebi.ac.uk/ols/ontologies/fbbt/terms?iri=http://purl.obolibrary.org/obo/FBbt_00048035","FBbt:00048035")</f>
        <v>FBbt:00048035</v>
      </c>
      <c r="B103" t="s">
        <v>325</v>
      </c>
      <c r="C103" t="s">
        <v>8</v>
      </c>
      <c r="D103" t="s">
        <v>326</v>
      </c>
      <c r="E103" t="s">
        <v>202</v>
      </c>
    </row>
    <row r="104" spans="1:5" x14ac:dyDescent="0.2">
      <c r="A104" t="str">
        <f>HYPERLINK("https://www.ebi.ac.uk/ols/ontologies/fbbt/terms?iri=http://purl.obolibrary.org/obo/FBbt_00111218","FBbt:00111218")</f>
        <v>FBbt:00111218</v>
      </c>
      <c r="B104" t="s">
        <v>327</v>
      </c>
      <c r="C104" t="s">
        <v>8</v>
      </c>
      <c r="D104" t="s">
        <v>328</v>
      </c>
      <c r="E104" t="s">
        <v>329</v>
      </c>
    </row>
    <row r="105" spans="1:5" x14ac:dyDescent="0.2">
      <c r="A105" t="str">
        <f>HYPERLINK("https://www.ebi.ac.uk/ols/ontologies/fbbt/terms?iri=http://purl.obolibrary.org/obo/FBbt_00111217","FBbt:00111217")</f>
        <v>FBbt:00111217</v>
      </c>
      <c r="B105" t="s">
        <v>330</v>
      </c>
      <c r="C105" t="s">
        <v>8</v>
      </c>
      <c r="D105" t="s">
        <v>331</v>
      </c>
      <c r="E105" t="s">
        <v>329</v>
      </c>
    </row>
    <row r="106" spans="1:5" x14ac:dyDescent="0.2">
      <c r="A106" t="str">
        <f>HYPERLINK("https://www.ebi.ac.uk/ols/ontologies/fbbt/terms?iri=http://purl.obolibrary.org/obo/FBbt_00111219","FBbt:00111219")</f>
        <v>FBbt:00111219</v>
      </c>
      <c r="B106" t="s">
        <v>332</v>
      </c>
      <c r="C106" t="s">
        <v>8</v>
      </c>
      <c r="D106" t="s">
        <v>333</v>
      </c>
      <c r="E106" t="s">
        <v>329</v>
      </c>
    </row>
    <row r="107" spans="1:5" x14ac:dyDescent="0.2">
      <c r="A107" t="str">
        <f>HYPERLINK("https://www.ebi.ac.uk/ols/ontologies/fbbt/terms?iri=http://purl.obolibrary.org/obo/FBbt_00111215","FBbt:00111215")</f>
        <v>FBbt:00111215</v>
      </c>
      <c r="B107" t="s">
        <v>334</v>
      </c>
      <c r="C107" t="s">
        <v>8</v>
      </c>
      <c r="D107" t="s">
        <v>335</v>
      </c>
      <c r="E107" t="s">
        <v>329</v>
      </c>
    </row>
    <row r="108" spans="1:5" x14ac:dyDescent="0.2">
      <c r="A108" t="str">
        <f>HYPERLINK("https://www.ebi.ac.uk/ols/ontologies/fbbt/terms?iri=http://purl.obolibrary.org/obo/FBbt_00100132","FBbt:00100132")</f>
        <v>FBbt:00100132</v>
      </c>
      <c r="B108" t="s">
        <v>336</v>
      </c>
      <c r="C108" t="s">
        <v>8</v>
      </c>
      <c r="D108" t="s">
        <v>337</v>
      </c>
      <c r="E108" t="s">
        <v>215</v>
      </c>
    </row>
    <row r="109" spans="1:5" x14ac:dyDescent="0.2">
      <c r="A109" t="str">
        <f>HYPERLINK("https://www.ebi.ac.uk/ols/ontologies/fbbt/terms?iri=http://purl.obolibrary.org/obo/FBbt_00111216","FBbt:00111216")</f>
        <v>FBbt:00111216</v>
      </c>
      <c r="B109" t="s">
        <v>338</v>
      </c>
      <c r="C109" t="s">
        <v>8</v>
      </c>
      <c r="D109" t="s">
        <v>339</v>
      </c>
      <c r="E109" t="s">
        <v>329</v>
      </c>
    </row>
    <row r="110" spans="1:5" x14ac:dyDescent="0.2">
      <c r="A110" t="str">
        <f>HYPERLINK("https://www.ebi.ac.uk/ols/ontologies/fbbt/terms?iri=http://purl.obolibrary.org/obo/FBbt_00111213","FBbt:00111213")</f>
        <v>FBbt:00111213</v>
      </c>
      <c r="B110" t="s">
        <v>340</v>
      </c>
      <c r="C110" t="s">
        <v>8</v>
      </c>
      <c r="D110" t="s">
        <v>341</v>
      </c>
      <c r="E110" t="s">
        <v>329</v>
      </c>
    </row>
    <row r="111" spans="1:5" x14ac:dyDescent="0.2">
      <c r="A111" t="str">
        <f>HYPERLINK("https://www.ebi.ac.uk/ols/ontologies/fbbt/terms?iri=http://purl.obolibrary.org/obo/FBbt_00100134","FBbt:00100134")</f>
        <v>FBbt:00100134</v>
      </c>
      <c r="B111" t="s">
        <v>342</v>
      </c>
      <c r="C111" t="s">
        <v>8</v>
      </c>
      <c r="D111" t="s">
        <v>343</v>
      </c>
      <c r="E111" t="s">
        <v>215</v>
      </c>
    </row>
    <row r="112" spans="1:5" x14ac:dyDescent="0.2">
      <c r="A112" t="str">
        <f>HYPERLINK("https://www.ebi.ac.uk/ols/ontologies/fbbt/terms?iri=http://purl.obolibrary.org/obo/FBbt_00007352","FBbt:00007352")</f>
        <v>FBbt:00007352</v>
      </c>
      <c r="B112" t="s">
        <v>344</v>
      </c>
      <c r="C112" t="s">
        <v>345</v>
      </c>
      <c r="D112" t="s">
        <v>346</v>
      </c>
      <c r="E112" t="s">
        <v>171</v>
      </c>
    </row>
    <row r="113" spans="1:5" x14ac:dyDescent="0.2">
      <c r="A113" t="str">
        <f>HYPERLINK("https://www.ebi.ac.uk/ols/ontologies/fbbt/terms?iri=http://purl.obolibrary.org/obo/FBbt_00111214","FBbt:00111214")</f>
        <v>FBbt:00111214</v>
      </c>
      <c r="B113" t="s">
        <v>347</v>
      </c>
      <c r="C113" t="s">
        <v>8</v>
      </c>
      <c r="D113" t="s">
        <v>348</v>
      </c>
      <c r="E113" t="s">
        <v>329</v>
      </c>
    </row>
    <row r="114" spans="1:5" x14ac:dyDescent="0.2">
      <c r="A114" t="str">
        <f>HYPERLINK("https://www.ebi.ac.uk/ols/ontologies/fbbt/terms?iri=http://purl.obolibrary.org/obo/FBbt_00007353","FBbt:00007353")</f>
        <v>FBbt:00007353</v>
      </c>
      <c r="B114" t="s">
        <v>349</v>
      </c>
      <c r="C114" t="s">
        <v>350</v>
      </c>
      <c r="D114" t="s">
        <v>351</v>
      </c>
      <c r="E114" t="s">
        <v>171</v>
      </c>
    </row>
    <row r="115" spans="1:5" x14ac:dyDescent="0.2">
      <c r="A115" t="str">
        <f>HYPERLINK("https://www.ebi.ac.uk/ols/ontologies/fbbt/terms?iri=http://purl.obolibrary.org/obo/FBbt_00100136","FBbt:00100136")</f>
        <v>FBbt:00100136</v>
      </c>
      <c r="B115" t="s">
        <v>352</v>
      </c>
      <c r="C115" t="s">
        <v>8</v>
      </c>
      <c r="D115" t="s">
        <v>353</v>
      </c>
      <c r="E115" t="s">
        <v>215</v>
      </c>
    </row>
    <row r="116" spans="1:5" x14ac:dyDescent="0.2">
      <c r="A116" t="str">
        <f>HYPERLINK("https://www.ebi.ac.uk/ols/ontologies/fbbt/terms?iri=http://purl.obolibrary.org/obo/FBbt_00048059","FBbt:00048059")</f>
        <v>FBbt:00048059</v>
      </c>
      <c r="B116" t="s">
        <v>354</v>
      </c>
      <c r="C116" t="s">
        <v>8</v>
      </c>
      <c r="D116" t="s">
        <v>355</v>
      </c>
      <c r="E116" t="s">
        <v>11</v>
      </c>
    </row>
    <row r="117" spans="1:5" x14ac:dyDescent="0.2">
      <c r="A117" t="str">
        <f>HYPERLINK("https://www.ebi.ac.uk/ols/ontologies/fbbt/terms?iri=http://purl.obolibrary.org/obo/FBbt_00048136","FBbt:00048136")</f>
        <v>FBbt:00048136</v>
      </c>
      <c r="B117" t="s">
        <v>356</v>
      </c>
      <c r="C117" t="s">
        <v>8</v>
      </c>
      <c r="D117" t="s">
        <v>357</v>
      </c>
      <c r="E117" t="s">
        <v>171</v>
      </c>
    </row>
    <row r="118" spans="1:5" x14ac:dyDescent="0.2">
      <c r="A118" t="str">
        <f>HYPERLINK("https://www.ebi.ac.uk/ols/ontologies/fbbt/terms?iri=http://purl.obolibrary.org/obo/FBbt_00111224","FBbt:00111224")</f>
        <v>FBbt:00111224</v>
      </c>
      <c r="B118" t="s">
        <v>358</v>
      </c>
      <c r="C118" t="s">
        <v>8</v>
      </c>
      <c r="D118" t="s">
        <v>359</v>
      </c>
      <c r="E118" t="s">
        <v>329</v>
      </c>
    </row>
    <row r="119" spans="1:5" x14ac:dyDescent="0.2">
      <c r="A119" t="str">
        <f>HYPERLINK("https://www.ebi.ac.uk/ols/ontologies/fbbt/terms?iri=http://purl.obolibrary.org/obo/FBbt_00111222","FBbt:00111222")</f>
        <v>FBbt:00111222</v>
      </c>
      <c r="B119" t="s">
        <v>360</v>
      </c>
      <c r="C119" t="s">
        <v>8</v>
      </c>
      <c r="D119" t="s">
        <v>361</v>
      </c>
      <c r="E119" t="s">
        <v>329</v>
      </c>
    </row>
    <row r="120" spans="1:5" x14ac:dyDescent="0.2">
      <c r="A120" t="str">
        <f>HYPERLINK("https://www.ebi.ac.uk/ols/ontologies/fbbt/terms?iri=http://purl.obolibrary.org/obo/FBbt_00048069","FBbt:00048069")</f>
        <v>FBbt:00048069</v>
      </c>
      <c r="B120" t="s">
        <v>362</v>
      </c>
      <c r="C120" t="s">
        <v>8</v>
      </c>
      <c r="D120" t="s">
        <v>363</v>
      </c>
      <c r="E120" t="s">
        <v>11</v>
      </c>
    </row>
    <row r="121" spans="1:5" x14ac:dyDescent="0.2">
      <c r="A121" t="str">
        <f>HYPERLINK("https://www.ebi.ac.uk/ols/ontologies/fbbt/terms?iri=http://purl.obolibrary.org/obo/FBbt_00111223","FBbt:00111223")</f>
        <v>FBbt:00111223</v>
      </c>
      <c r="B121" t="s">
        <v>364</v>
      </c>
      <c r="C121" t="s">
        <v>8</v>
      </c>
      <c r="D121" t="s">
        <v>365</v>
      </c>
      <c r="E121" t="s">
        <v>329</v>
      </c>
    </row>
    <row r="122" spans="1:5" x14ac:dyDescent="0.2">
      <c r="A122" t="str">
        <f>HYPERLINK("https://www.ebi.ac.uk/ols/ontologies/fbbt/terms?iri=http://purl.obolibrary.org/obo/FBbt_00048068","FBbt:00048068")</f>
        <v>FBbt:00048068</v>
      </c>
      <c r="B122" t="s">
        <v>366</v>
      </c>
      <c r="C122" t="s">
        <v>8</v>
      </c>
      <c r="D122" t="s">
        <v>367</v>
      </c>
      <c r="E122" t="s">
        <v>11</v>
      </c>
    </row>
    <row r="123" spans="1:5" x14ac:dyDescent="0.2">
      <c r="A123" t="str">
        <f>HYPERLINK("https://www.ebi.ac.uk/ols/ontologies/fbbt/terms?iri=http://purl.obolibrary.org/obo/FBbt_00111220","FBbt:00111220")</f>
        <v>FBbt:00111220</v>
      </c>
      <c r="B123" t="s">
        <v>368</v>
      </c>
      <c r="C123" t="s">
        <v>8</v>
      </c>
      <c r="D123" t="s">
        <v>369</v>
      </c>
      <c r="E123" t="s">
        <v>370</v>
      </c>
    </row>
    <row r="124" spans="1:5" x14ac:dyDescent="0.2">
      <c r="A124" t="str">
        <f>HYPERLINK("https://www.ebi.ac.uk/ols/ontologies/fbbt/terms?iri=http://purl.obolibrary.org/obo/FBbt_00048067","FBbt:00048067")</f>
        <v>FBbt:00048067</v>
      </c>
      <c r="B124" t="s">
        <v>371</v>
      </c>
      <c r="C124" t="s">
        <v>8</v>
      </c>
      <c r="D124" t="s">
        <v>372</v>
      </c>
      <c r="E124" t="s">
        <v>11</v>
      </c>
    </row>
    <row r="125" spans="1:5" x14ac:dyDescent="0.2">
      <c r="A125" t="str">
        <f>HYPERLINK("https://www.ebi.ac.uk/ols/ontologies/fbbt/terms?iri=http://purl.obolibrary.org/obo/FBbt_00111221","FBbt:00111221")</f>
        <v>FBbt:00111221</v>
      </c>
      <c r="B125" t="s">
        <v>373</v>
      </c>
      <c r="C125" t="s">
        <v>8</v>
      </c>
      <c r="D125" t="s">
        <v>374</v>
      </c>
      <c r="E125" t="s">
        <v>370</v>
      </c>
    </row>
    <row r="126" spans="1:5" x14ac:dyDescent="0.2">
      <c r="A126" t="str">
        <f>HYPERLINK("https://www.ebi.ac.uk/ols/ontologies/fbbt/terms?iri=http://purl.obolibrary.org/obo/FBbt_00048065","FBbt:00048065")</f>
        <v>FBbt:00048065</v>
      </c>
      <c r="B126" t="s">
        <v>375</v>
      </c>
      <c r="C126" t="s">
        <v>8</v>
      </c>
      <c r="D126" t="s">
        <v>376</v>
      </c>
      <c r="E126" t="s">
        <v>11</v>
      </c>
    </row>
    <row r="127" spans="1:5" x14ac:dyDescent="0.2">
      <c r="A127" t="str">
        <f>HYPERLINK("https://www.ebi.ac.uk/ols/ontologies/fbbt/terms?iri=http://purl.obolibrary.org/obo/FBbt_00048064","FBbt:00048064")</f>
        <v>FBbt:00048064</v>
      </c>
      <c r="B127" t="s">
        <v>377</v>
      </c>
      <c r="C127" t="s">
        <v>8</v>
      </c>
      <c r="D127" t="s">
        <v>378</v>
      </c>
      <c r="E127" t="s">
        <v>11</v>
      </c>
    </row>
    <row r="128" spans="1:5" x14ac:dyDescent="0.2">
      <c r="A128" t="str">
        <f>HYPERLINK("https://www.ebi.ac.uk/ols/ontologies/fbbt/terms?iri=http://purl.obolibrary.org/obo/FBbt_00048063","FBbt:00048063")</f>
        <v>FBbt:00048063</v>
      </c>
      <c r="B128" t="s">
        <v>379</v>
      </c>
      <c r="C128" t="s">
        <v>8</v>
      </c>
      <c r="D128" t="s">
        <v>380</v>
      </c>
      <c r="E128" t="s">
        <v>11</v>
      </c>
    </row>
    <row r="129" spans="1:5" x14ac:dyDescent="0.2">
      <c r="A129" t="str">
        <f>HYPERLINK("https://www.ebi.ac.uk/ols/ontologies/fbbt/terms?iri=http://purl.obolibrary.org/obo/FBbt_00048060","FBbt:00048060")</f>
        <v>FBbt:00048060</v>
      </c>
      <c r="B129" t="s">
        <v>381</v>
      </c>
      <c r="C129" t="s">
        <v>8</v>
      </c>
      <c r="D129" t="s">
        <v>382</v>
      </c>
      <c r="E129" t="s">
        <v>11</v>
      </c>
    </row>
    <row r="130" spans="1:5" x14ac:dyDescent="0.2">
      <c r="A130" t="str">
        <f>HYPERLINK("https://www.ebi.ac.uk/ols/ontologies/fbbt/terms?iri=http://purl.obolibrary.org/obo/FBbt_00110883","FBbt:00110883")</f>
        <v>FBbt:00110883</v>
      </c>
      <c r="B130" t="s">
        <v>383</v>
      </c>
      <c r="C130" t="s">
        <v>384</v>
      </c>
      <c r="D130" t="s">
        <v>385</v>
      </c>
      <c r="E130" t="s">
        <v>386</v>
      </c>
    </row>
    <row r="131" spans="1:5" x14ac:dyDescent="0.2">
      <c r="A131" t="str">
        <f>HYPERLINK("https://www.ebi.ac.uk/ols/ontologies/fbbt/terms?iri=http://purl.obolibrary.org/obo/FBbt_00048028","FBbt:00048028")</f>
        <v>FBbt:00048028</v>
      </c>
      <c r="B131" t="s">
        <v>387</v>
      </c>
      <c r="C131" t="s">
        <v>8</v>
      </c>
      <c r="D131" t="s">
        <v>388</v>
      </c>
      <c r="E131" t="s">
        <v>134</v>
      </c>
    </row>
    <row r="132" spans="1:5" x14ac:dyDescent="0.2">
      <c r="A132" t="str">
        <f>HYPERLINK("https://www.ebi.ac.uk/ols/ontologies/fbbt/terms?iri=http://purl.obolibrary.org/obo/FBbt_00048051","FBbt:00048051")</f>
        <v>FBbt:00048051</v>
      </c>
      <c r="B132" t="s">
        <v>389</v>
      </c>
      <c r="C132" t="s">
        <v>8</v>
      </c>
      <c r="D132" t="s">
        <v>390</v>
      </c>
      <c r="E132" t="s">
        <v>15</v>
      </c>
    </row>
    <row r="133" spans="1:5" x14ac:dyDescent="0.2">
      <c r="A133" t="str">
        <f>HYPERLINK("https://www.ebi.ac.uk/ols/ontologies/fbbt/terms?iri=http://purl.obolibrary.org/obo/FBbt_00100008","FBbt:00100008")</f>
        <v>FBbt:00100008</v>
      </c>
      <c r="B133" t="s">
        <v>391</v>
      </c>
      <c r="C133" t="s">
        <v>392</v>
      </c>
      <c r="D133" t="s">
        <v>393</v>
      </c>
      <c r="E133" t="s">
        <v>185</v>
      </c>
    </row>
    <row r="134" spans="1:5" x14ac:dyDescent="0.2">
      <c r="A134" t="str">
        <f>HYPERLINK("https://www.ebi.ac.uk/ols/ontologies/fbbt/terms?iri=http://purl.obolibrary.org/obo/FBbt_00100009","FBbt:00100009")</f>
        <v>FBbt:00100009</v>
      </c>
      <c r="B134" t="s">
        <v>394</v>
      </c>
      <c r="C134" t="s">
        <v>395</v>
      </c>
      <c r="D134" t="s">
        <v>396</v>
      </c>
      <c r="E134" t="s">
        <v>397</v>
      </c>
    </row>
    <row r="135" spans="1:5" x14ac:dyDescent="0.2">
      <c r="A135" t="str">
        <f>HYPERLINK("https://www.ebi.ac.uk/ols/ontologies/fbbt/terms?iri=http://purl.obolibrary.org/obo/FBbt_00048087","FBbt:00048087")</f>
        <v>FBbt:00048087</v>
      </c>
      <c r="B135" t="s">
        <v>398</v>
      </c>
      <c r="C135" t="s">
        <v>8</v>
      </c>
      <c r="D135" t="s">
        <v>399</v>
      </c>
      <c r="E135" t="s">
        <v>11</v>
      </c>
    </row>
    <row r="136" spans="1:5" x14ac:dyDescent="0.2">
      <c r="A136" t="str">
        <f>HYPERLINK("https://www.ebi.ac.uk/ols/ontologies/fbbt/terms?iri=http://purl.obolibrary.org/obo/FBbt_00100010","FBbt:00100010")</f>
        <v>FBbt:00100010</v>
      </c>
      <c r="B136" t="s">
        <v>400</v>
      </c>
      <c r="C136" t="s">
        <v>401</v>
      </c>
      <c r="D136" t="s">
        <v>402</v>
      </c>
      <c r="E136" t="s">
        <v>185</v>
      </c>
    </row>
    <row r="137" spans="1:5" x14ac:dyDescent="0.2">
      <c r="A137" t="str">
        <f>HYPERLINK("https://www.ebi.ac.uk/ols/ontologies/fbbt/terms?iri=http://purl.obolibrary.org/obo/FBbt_00048086","FBbt:00048086")</f>
        <v>FBbt:00048086</v>
      </c>
      <c r="B137" t="s">
        <v>403</v>
      </c>
      <c r="C137" t="s">
        <v>8</v>
      </c>
      <c r="D137" t="s">
        <v>404</v>
      </c>
      <c r="E137" t="s">
        <v>11</v>
      </c>
    </row>
    <row r="138" spans="1:5" x14ac:dyDescent="0.2">
      <c r="A138" t="str">
        <f>HYPERLINK("https://www.ebi.ac.uk/ols/ontologies/fbbt/terms?iri=http://purl.obolibrary.org/obo/FBbt_00048085","FBbt:00048085")</f>
        <v>FBbt:00048085</v>
      </c>
      <c r="B138" t="s">
        <v>405</v>
      </c>
      <c r="C138" t="s">
        <v>8</v>
      </c>
      <c r="D138" t="s">
        <v>406</v>
      </c>
      <c r="E138" t="s">
        <v>11</v>
      </c>
    </row>
    <row r="139" spans="1:5" x14ac:dyDescent="0.2">
      <c r="A139" t="str">
        <f>HYPERLINK("https://www.ebi.ac.uk/ols/ontologies/fbbt/terms?iri=http://purl.obolibrary.org/obo/FBbt_00004022","FBbt:00004022")</f>
        <v>FBbt:00004022</v>
      </c>
      <c r="B139" t="s">
        <v>407</v>
      </c>
      <c r="C139" t="s">
        <v>408</v>
      </c>
      <c r="D139" t="s">
        <v>409</v>
      </c>
      <c r="E139" t="s">
        <v>410</v>
      </c>
    </row>
    <row r="140" spans="1:5" x14ac:dyDescent="0.2">
      <c r="A140" t="str">
        <f>HYPERLINK("https://www.ebi.ac.uk/ols/ontologies/fbbt/terms?iri=http://purl.obolibrary.org/obo/FBbt_00067031","FBbt:00067031")</f>
        <v>FBbt:00067031</v>
      </c>
      <c r="B140" t="s">
        <v>411</v>
      </c>
      <c r="C140" t="s">
        <v>412</v>
      </c>
      <c r="D140" t="s">
        <v>413</v>
      </c>
      <c r="E140" t="s">
        <v>414</v>
      </c>
    </row>
    <row r="141" spans="1:5" x14ac:dyDescent="0.2">
      <c r="A141" t="str">
        <f>HYPERLINK("https://www.ebi.ac.uk/ols/ontologies/fbbt/terms?iri=http://purl.obolibrary.org/obo/FBbt_00048014","FBbt:00048014")</f>
        <v>FBbt:00048014</v>
      </c>
      <c r="B141" t="s">
        <v>415</v>
      </c>
      <c r="C141" t="s">
        <v>416</v>
      </c>
      <c r="D141" t="s">
        <v>417</v>
      </c>
      <c r="E141" t="s">
        <v>418</v>
      </c>
    </row>
    <row r="142" spans="1:5" x14ac:dyDescent="0.2">
      <c r="A142" t="str">
        <f>HYPERLINK("https://www.ebi.ac.uk/ols/ontologies/fbbt/terms?iri=http://purl.obolibrary.org/obo/FBbt_00110018","FBbt:00110018")</f>
        <v>FBbt:00110018</v>
      </c>
      <c r="B142" t="s">
        <v>419</v>
      </c>
      <c r="C142" t="s">
        <v>420</v>
      </c>
      <c r="D142" t="s">
        <v>421</v>
      </c>
      <c r="E142" t="s">
        <v>422</v>
      </c>
    </row>
    <row r="143" spans="1:5" x14ac:dyDescent="0.2">
      <c r="A143" t="str">
        <f>HYPERLINK("https://www.ebi.ac.uk/ols/ontologies/fbbt/terms?iri=http://purl.obolibrary.org/obo/FBbt_00110019","FBbt:00110019")</f>
        <v>FBbt:00110019</v>
      </c>
      <c r="B143" t="s">
        <v>423</v>
      </c>
      <c r="C143" t="s">
        <v>424</v>
      </c>
      <c r="D143" t="s">
        <v>425</v>
      </c>
      <c r="E143" t="s">
        <v>426</v>
      </c>
    </row>
    <row r="144" spans="1:5" x14ac:dyDescent="0.2">
      <c r="A144" t="str">
        <f>HYPERLINK("https://www.ebi.ac.uk/ols/ontologies/fbbt/terms?iri=http://purl.obolibrary.org/obo/FBbt_00111336","FBbt:00111336")</f>
        <v>FBbt:00111336</v>
      </c>
      <c r="B144" t="s">
        <v>427</v>
      </c>
      <c r="C144" t="s">
        <v>428</v>
      </c>
      <c r="D144" t="s">
        <v>429</v>
      </c>
      <c r="E144" t="s">
        <v>430</v>
      </c>
    </row>
    <row r="145" spans="1:5" x14ac:dyDescent="0.2">
      <c r="A145" t="str">
        <f>HYPERLINK("https://www.ebi.ac.uk/ols/ontologies/fbbt/terms?iri=http://purl.obolibrary.org/obo/FBbt_00047917","FBbt:00047917")</f>
        <v>FBbt:00047917</v>
      </c>
      <c r="B145" t="s">
        <v>431</v>
      </c>
      <c r="C145" t="s">
        <v>432</v>
      </c>
      <c r="D145" t="s">
        <v>433</v>
      </c>
      <c r="E145" t="s">
        <v>434</v>
      </c>
    </row>
    <row r="146" spans="1:5" x14ac:dyDescent="0.2">
      <c r="A146" t="str">
        <f>HYPERLINK("https://www.ebi.ac.uk/ols/ontologies/fbbt/terms?iri=http://purl.obolibrary.org/obo/FBbt_00047916","FBbt:00047916")</f>
        <v>FBbt:00047916</v>
      </c>
      <c r="B146" t="s">
        <v>435</v>
      </c>
      <c r="C146" t="s">
        <v>436</v>
      </c>
      <c r="D146" t="s">
        <v>437</v>
      </c>
      <c r="E146" t="s">
        <v>434</v>
      </c>
    </row>
    <row r="147" spans="1:5" x14ac:dyDescent="0.2">
      <c r="A147" t="str">
        <f>HYPERLINK("https://www.ebi.ac.uk/ols/ontologies/fbbt/terms?iri=http://purl.obolibrary.org/obo/FBbt_00110013","FBbt:00110013")</f>
        <v>FBbt:00110013</v>
      </c>
      <c r="B147" t="s">
        <v>438</v>
      </c>
      <c r="C147" t="s">
        <v>439</v>
      </c>
      <c r="D147" t="s">
        <v>440</v>
      </c>
      <c r="E147" t="s">
        <v>441</v>
      </c>
    </row>
    <row r="148" spans="1:5" x14ac:dyDescent="0.2">
      <c r="A148" t="str">
        <f>HYPERLINK("https://www.ebi.ac.uk/ols/ontologies/fbbt/terms?iri=http://purl.obolibrary.org/obo/FBbt_00110015","FBbt:00110015")</f>
        <v>FBbt:00110015</v>
      </c>
      <c r="B148" t="s">
        <v>442</v>
      </c>
      <c r="C148" t="s">
        <v>443</v>
      </c>
      <c r="D148" t="s">
        <v>444</v>
      </c>
      <c r="E148" t="s">
        <v>445</v>
      </c>
    </row>
    <row r="149" spans="1:5" x14ac:dyDescent="0.2">
      <c r="A149" t="str">
        <f>HYPERLINK("https://www.ebi.ac.uk/ols/ontologies/fbbt/terms?iri=http://purl.obolibrary.org/obo/FBbt_00110014","FBbt:00110014")</f>
        <v>FBbt:00110014</v>
      </c>
      <c r="B149" t="s">
        <v>446</v>
      </c>
      <c r="C149" t="s">
        <v>447</v>
      </c>
      <c r="D149" t="s">
        <v>448</v>
      </c>
      <c r="E149" t="s">
        <v>449</v>
      </c>
    </row>
    <row r="150" spans="1:5" x14ac:dyDescent="0.2">
      <c r="A150" t="str">
        <f>HYPERLINK("https://www.ebi.ac.uk/ols/ontologies/fbbt/terms?iri=http://purl.obolibrary.org/obo/FBbt_00004215","FBbt:00004215")</f>
        <v>FBbt:00004215</v>
      </c>
      <c r="B150" t="s">
        <v>450</v>
      </c>
      <c r="C150" t="s">
        <v>451</v>
      </c>
      <c r="D150" t="s">
        <v>452</v>
      </c>
      <c r="E150" t="s">
        <v>453</v>
      </c>
    </row>
    <row r="151" spans="1:5" x14ac:dyDescent="0.2">
      <c r="A151" t="str">
        <f>HYPERLINK("https://www.ebi.ac.uk/ols/ontologies/fbbt/terms?iri=http://purl.obolibrary.org/obo/FBbt_00110016","FBbt:00110016")</f>
        <v>FBbt:00110016</v>
      </c>
      <c r="B151" t="s">
        <v>454</v>
      </c>
      <c r="C151" t="s">
        <v>455</v>
      </c>
      <c r="D151" t="s">
        <v>456</v>
      </c>
      <c r="E151" t="s">
        <v>457</v>
      </c>
    </row>
    <row r="152" spans="1:5" x14ac:dyDescent="0.2">
      <c r="A152" t="str">
        <f>HYPERLINK("https://www.ebi.ac.uk/ols/ontologies/fbbt/terms?iri=http://purl.obolibrary.org/obo/FBbt_00067039","FBbt:00067039")</f>
        <v>FBbt:00067039</v>
      </c>
      <c r="B152" t="s">
        <v>458</v>
      </c>
      <c r="C152" t="s">
        <v>459</v>
      </c>
      <c r="D152" t="s">
        <v>460</v>
      </c>
      <c r="E152" t="s">
        <v>461</v>
      </c>
    </row>
    <row r="153" spans="1:5" x14ac:dyDescent="0.2">
      <c r="A153" t="str">
        <f>HYPERLINK("https://www.ebi.ac.uk/ols/ontologies/fbbt/terms?iri=http://purl.obolibrary.org/obo/FBbt_00047914","FBbt:00047914")</f>
        <v>FBbt:00047914</v>
      </c>
      <c r="B153" t="s">
        <v>462</v>
      </c>
      <c r="C153" t="s">
        <v>463</v>
      </c>
      <c r="D153" t="s">
        <v>464</v>
      </c>
      <c r="E153" t="s">
        <v>434</v>
      </c>
    </row>
    <row r="154" spans="1:5" x14ac:dyDescent="0.2">
      <c r="A154" t="str">
        <f>HYPERLINK("https://www.ebi.ac.uk/ols/ontologies/fbbt/terms?iri=http://purl.obolibrary.org/obo/FBbt_00110017","FBbt:00110017")</f>
        <v>FBbt:00110017</v>
      </c>
      <c r="B154" t="s">
        <v>465</v>
      </c>
      <c r="C154" t="s">
        <v>466</v>
      </c>
      <c r="D154" t="s">
        <v>467</v>
      </c>
      <c r="E154" t="s">
        <v>449</v>
      </c>
    </row>
    <row r="155" spans="1:5" x14ac:dyDescent="0.2">
      <c r="A155" t="str">
        <f>HYPERLINK("https://www.ebi.ac.uk/ols/ontologies/fbbt/terms?iri=http://purl.obolibrary.org/obo/FBbt_00004213","FBbt:00004213")</f>
        <v>FBbt:00004213</v>
      </c>
      <c r="B155" t="s">
        <v>468</v>
      </c>
      <c r="C155" t="s">
        <v>469</v>
      </c>
      <c r="D155" t="s">
        <v>470</v>
      </c>
      <c r="E155" t="s">
        <v>453</v>
      </c>
    </row>
    <row r="156" spans="1:5" x14ac:dyDescent="0.2">
      <c r="A156" t="str">
        <f>HYPERLINK("https://www.ebi.ac.uk/ols/ontologies/fbbt/terms?iri=http://purl.obolibrary.org/obo/FBbt_00047915","FBbt:00047915")</f>
        <v>FBbt:00047915</v>
      </c>
      <c r="B156" t="s">
        <v>471</v>
      </c>
      <c r="C156" t="s">
        <v>472</v>
      </c>
      <c r="D156" t="s">
        <v>473</v>
      </c>
      <c r="E156" t="s">
        <v>434</v>
      </c>
    </row>
    <row r="157" spans="1:5" x14ac:dyDescent="0.2">
      <c r="A157" t="str">
        <f>HYPERLINK("https://www.ebi.ac.uk/ols/ontologies/fbbt/terms?iri=http://purl.obolibrary.org/obo/FBbt_00067036","FBbt:00067036")</f>
        <v>FBbt:00067036</v>
      </c>
      <c r="B157" t="s">
        <v>474</v>
      </c>
      <c r="C157" t="s">
        <v>475</v>
      </c>
      <c r="D157" t="s">
        <v>476</v>
      </c>
      <c r="E157" t="s">
        <v>477</v>
      </c>
    </row>
    <row r="158" spans="1:5" x14ac:dyDescent="0.2">
      <c r="A158" t="str">
        <f>HYPERLINK("https://www.ebi.ac.uk/ols/ontologies/fbbt/terms?iri=http://purl.obolibrary.org/obo/FBbt_00110010","FBbt:00110010")</f>
        <v>FBbt:00110010</v>
      </c>
      <c r="B158" t="s">
        <v>478</v>
      </c>
      <c r="C158" t="s">
        <v>479</v>
      </c>
      <c r="D158" t="s">
        <v>480</v>
      </c>
      <c r="E158" t="s">
        <v>481</v>
      </c>
    </row>
    <row r="159" spans="1:5" x14ac:dyDescent="0.2">
      <c r="A159" t="str">
        <f>HYPERLINK("https://www.ebi.ac.uk/ols/ontologies/fbbt/terms?iri=http://purl.obolibrary.org/obo/FBbt_00047918","FBbt:00047918")</f>
        <v>FBbt:00047918</v>
      </c>
      <c r="B159" t="s">
        <v>482</v>
      </c>
      <c r="C159" t="s">
        <v>483</v>
      </c>
      <c r="D159" t="s">
        <v>484</v>
      </c>
      <c r="E159" t="s">
        <v>434</v>
      </c>
    </row>
    <row r="160" spans="1:5" x14ac:dyDescent="0.2">
      <c r="A160" t="str">
        <f>HYPERLINK("https://www.ebi.ac.uk/ols/ontologies/fbbt/terms?iri=http://purl.obolibrary.org/obo/FBbt_00067034","FBbt:00067034")</f>
        <v>FBbt:00067034</v>
      </c>
      <c r="B160" t="s">
        <v>485</v>
      </c>
      <c r="C160" t="s">
        <v>486</v>
      </c>
      <c r="D160" t="s">
        <v>487</v>
      </c>
      <c r="E160" t="s">
        <v>488</v>
      </c>
    </row>
    <row r="161" spans="1:5" x14ac:dyDescent="0.2">
      <c r="A161" t="str">
        <f>HYPERLINK("https://www.ebi.ac.uk/ols/ontologies/fbbt/terms?iri=http://purl.obolibrary.org/obo/FBbt_00110011","FBbt:00110011")</f>
        <v>FBbt:00110011</v>
      </c>
      <c r="B161" t="s">
        <v>489</v>
      </c>
      <c r="C161" t="s">
        <v>490</v>
      </c>
      <c r="D161" t="s">
        <v>491</v>
      </c>
      <c r="E161" t="s">
        <v>449</v>
      </c>
    </row>
    <row r="162" spans="1:5" x14ac:dyDescent="0.2">
      <c r="A162" t="str">
        <f>HYPERLINK("https://www.ebi.ac.uk/ols/ontologies/fbbt/terms?iri=http://purl.obolibrary.org/obo/FBbt_00047919","FBbt:00047919")</f>
        <v>FBbt:00047919</v>
      </c>
      <c r="B162" t="s">
        <v>492</v>
      </c>
      <c r="C162" t="s">
        <v>493</v>
      </c>
      <c r="D162" t="s">
        <v>494</v>
      </c>
      <c r="E162" t="s">
        <v>434</v>
      </c>
    </row>
    <row r="163" spans="1:5" x14ac:dyDescent="0.2">
      <c r="A163" t="str">
        <f>HYPERLINK("https://www.ebi.ac.uk/ols/ontologies/fbbt/terms?iri=http://purl.obolibrary.org/obo/FBbt_00067033","FBbt:00067033")</f>
        <v>FBbt:00067033</v>
      </c>
      <c r="B163" t="s">
        <v>495</v>
      </c>
      <c r="C163" t="s">
        <v>496</v>
      </c>
      <c r="D163" t="s">
        <v>497</v>
      </c>
      <c r="E163" t="s">
        <v>498</v>
      </c>
    </row>
    <row r="164" spans="1:5" x14ac:dyDescent="0.2">
      <c r="A164" t="str">
        <f>HYPERLINK("https://www.ebi.ac.uk/ols/ontologies/fbbt/terms?iri=http://purl.obolibrary.org/obo/FBbt_00110012","FBbt:00110012")</f>
        <v>FBbt:00110012</v>
      </c>
      <c r="B164" t="s">
        <v>499</v>
      </c>
      <c r="C164" t="s">
        <v>500</v>
      </c>
      <c r="D164" t="s">
        <v>501</v>
      </c>
      <c r="E164" t="s">
        <v>502</v>
      </c>
    </row>
    <row r="165" spans="1:5" x14ac:dyDescent="0.2">
      <c r="A165" t="str">
        <f>HYPERLINK("https://www.ebi.ac.uk/ols/ontologies/fbbt/terms?iri=http://purl.obolibrary.org/obo/FBbt_00047920","FBbt:00047920")</f>
        <v>FBbt:00047920</v>
      </c>
      <c r="B165" t="s">
        <v>503</v>
      </c>
      <c r="C165" t="s">
        <v>504</v>
      </c>
      <c r="D165" t="s">
        <v>505</v>
      </c>
      <c r="E165" t="s">
        <v>434</v>
      </c>
    </row>
    <row r="166" spans="1:5" x14ac:dyDescent="0.2">
      <c r="A166" t="str">
        <f>HYPERLINK("https://www.ebi.ac.uk/ols/ontologies/fbbt/terms?iri=http://purl.obolibrary.org/obo/FBbt_00047924","FBbt:00047924")</f>
        <v>FBbt:00047924</v>
      </c>
      <c r="B166" t="s">
        <v>506</v>
      </c>
      <c r="C166" t="s">
        <v>507</v>
      </c>
      <c r="D166" t="s">
        <v>508</v>
      </c>
      <c r="E166" t="s">
        <v>434</v>
      </c>
    </row>
    <row r="167" spans="1:5" x14ac:dyDescent="0.2">
      <c r="A167" t="str">
        <f>HYPERLINK("https://www.ebi.ac.uk/ols/ontologies/fbbt/terms?iri=http://purl.obolibrary.org/obo/FBbt_00004219","FBbt:00004219")</f>
        <v>FBbt:00004219</v>
      </c>
      <c r="B167" t="s">
        <v>509</v>
      </c>
      <c r="C167" t="s">
        <v>510</v>
      </c>
      <c r="D167" t="s">
        <v>511</v>
      </c>
      <c r="E167" t="s">
        <v>453</v>
      </c>
    </row>
    <row r="168" spans="1:5" x14ac:dyDescent="0.2">
      <c r="A168" t="str">
        <f>HYPERLINK("https://www.ebi.ac.uk/ols/ontologies/fbbt/terms?iri=http://purl.obolibrary.org/obo/FBbt_00047921","FBbt:00047921")</f>
        <v>FBbt:00047921</v>
      </c>
      <c r="B168" t="s">
        <v>512</v>
      </c>
      <c r="C168" t="s">
        <v>513</v>
      </c>
      <c r="D168" t="s">
        <v>514</v>
      </c>
      <c r="E168" t="s">
        <v>434</v>
      </c>
    </row>
    <row r="169" spans="1:5" x14ac:dyDescent="0.2">
      <c r="A169" t="str">
        <f>HYPERLINK("https://www.ebi.ac.uk/ols/ontologies/fbbt/terms?iri=http://purl.obolibrary.org/obo/FBbt_00047923","FBbt:00047923")</f>
        <v>FBbt:00047923</v>
      </c>
      <c r="B169" t="s">
        <v>515</v>
      </c>
      <c r="C169" t="s">
        <v>516</v>
      </c>
      <c r="D169" t="s">
        <v>517</v>
      </c>
      <c r="E169" t="s">
        <v>434</v>
      </c>
    </row>
    <row r="170" spans="1:5" x14ac:dyDescent="0.2">
      <c r="A170" t="str">
        <f>HYPERLINK("https://www.ebi.ac.uk/ols/ontologies/fbbt/terms?iri=http://purl.obolibrary.org/obo/FBbt_00047922","FBbt:00047922")</f>
        <v>FBbt:00047922</v>
      </c>
      <c r="B170" t="s">
        <v>518</v>
      </c>
      <c r="C170" t="s">
        <v>519</v>
      </c>
      <c r="D170" t="s">
        <v>520</v>
      </c>
      <c r="E170" t="s">
        <v>434</v>
      </c>
    </row>
    <row r="171" spans="1:5" x14ac:dyDescent="0.2">
      <c r="A171" t="str">
        <f>HYPERLINK("https://www.ebi.ac.uk/ols/ontologies/fbbt/terms?iri=http://purl.obolibrary.org/obo/FBbt_00004217","FBbt:00004217")</f>
        <v>FBbt:00004217</v>
      </c>
      <c r="B171" t="s">
        <v>521</v>
      </c>
      <c r="C171" t="s">
        <v>522</v>
      </c>
      <c r="D171" t="s">
        <v>523</v>
      </c>
      <c r="E171" t="s">
        <v>453</v>
      </c>
    </row>
    <row r="172" spans="1:5" x14ac:dyDescent="0.2">
      <c r="A172" t="str">
        <f>HYPERLINK("https://www.ebi.ac.uk/ols/ontologies/fbbt/terms?iri=http://purl.obolibrary.org/obo/FBbt_00110885","FBbt:00110885")</f>
        <v>FBbt:00110885</v>
      </c>
      <c r="B172" t="s">
        <v>524</v>
      </c>
      <c r="C172" t="s">
        <v>408</v>
      </c>
      <c r="D172" t="s">
        <v>525</v>
      </c>
      <c r="E172" t="s">
        <v>526</v>
      </c>
    </row>
    <row r="173" spans="1:5" x14ac:dyDescent="0.2">
      <c r="A173" t="str">
        <f>HYPERLINK("https://www.ebi.ac.uk/ols/ontologies/fbbt/terms?iri=http://purl.obolibrary.org/obo/FBbt_00110884","FBbt:00110884")</f>
        <v>FBbt:00110884</v>
      </c>
      <c r="B173" t="s">
        <v>527</v>
      </c>
      <c r="C173" t="s">
        <v>408</v>
      </c>
      <c r="D173" t="s">
        <v>528</v>
      </c>
      <c r="E173" t="s">
        <v>526</v>
      </c>
    </row>
    <row r="174" spans="1:5" x14ac:dyDescent="0.2">
      <c r="A174" t="str">
        <f>HYPERLINK("https://www.ebi.ac.uk/ols/ontologies/fbbt/terms?iri=http://purl.obolibrary.org/obo/FBbt_00007389","FBbt:00007389")</f>
        <v>FBbt:00007389</v>
      </c>
      <c r="B174" t="s">
        <v>529</v>
      </c>
      <c r="C174" t="s">
        <v>530</v>
      </c>
      <c r="D174" t="s">
        <v>531</v>
      </c>
      <c r="E174" t="s">
        <v>532</v>
      </c>
    </row>
    <row r="175" spans="1:5" x14ac:dyDescent="0.2">
      <c r="A175" t="str">
        <f>HYPERLINK("https://www.ebi.ac.uk/ols/ontologies/fbbt/terms?iri=http://purl.obolibrary.org/obo/FBbt_00111643","FBbt:00111643")</f>
        <v>FBbt:00111643</v>
      </c>
      <c r="B175" t="s">
        <v>533</v>
      </c>
      <c r="C175" t="s">
        <v>534</v>
      </c>
      <c r="D175" t="s">
        <v>535</v>
      </c>
      <c r="E175" t="s">
        <v>536</v>
      </c>
    </row>
    <row r="176" spans="1:5" x14ac:dyDescent="0.2">
      <c r="A176" t="str">
        <f>HYPERLINK("https://www.ebi.ac.uk/ols/ontologies/fbbt/terms?iri=http://purl.obolibrary.org/obo/FBbt_00100159","FBbt:00100159")</f>
        <v>FBbt:00100159</v>
      </c>
      <c r="B176" t="s">
        <v>537</v>
      </c>
      <c r="C176" t="s">
        <v>384</v>
      </c>
      <c r="D176" t="s">
        <v>538</v>
      </c>
      <c r="E176" t="s">
        <v>539</v>
      </c>
    </row>
    <row r="177" spans="1:5" x14ac:dyDescent="0.2">
      <c r="A177" t="str">
        <f>HYPERLINK("https://www.ebi.ac.uk/ols/ontologies/fbbt/terms?iri=http://purl.obolibrary.org/obo/FBbt_00067027","FBbt:00067027")</f>
        <v>FBbt:00067027</v>
      </c>
      <c r="B177" t="s">
        <v>540</v>
      </c>
      <c r="C177" t="s">
        <v>541</v>
      </c>
      <c r="D177" t="s">
        <v>542</v>
      </c>
      <c r="E177" t="s">
        <v>543</v>
      </c>
    </row>
    <row r="178" spans="1:5" x14ac:dyDescent="0.2">
      <c r="A178" t="str">
        <f>HYPERLINK("https://www.ebi.ac.uk/ols/ontologies/fbbt/terms?iri=http://purl.obolibrary.org/obo/FBbt_00067025","FBbt:00067025")</f>
        <v>FBbt:00067025</v>
      </c>
      <c r="B178" t="s">
        <v>544</v>
      </c>
      <c r="C178" t="s">
        <v>545</v>
      </c>
      <c r="D178" t="s">
        <v>546</v>
      </c>
      <c r="E178" t="s">
        <v>547</v>
      </c>
    </row>
    <row r="179" spans="1:5" x14ac:dyDescent="0.2">
      <c r="A179" t="str">
        <f>HYPERLINK("https://www.ebi.ac.uk/ols/ontologies/fbbt/terms?iri=http://purl.obolibrary.org/obo/FBbt_00067023","FBbt:00067023")</f>
        <v>FBbt:00067023</v>
      </c>
      <c r="B179" t="s">
        <v>548</v>
      </c>
      <c r="C179" t="s">
        <v>549</v>
      </c>
      <c r="D179" t="s">
        <v>550</v>
      </c>
      <c r="E179" t="s">
        <v>551</v>
      </c>
    </row>
    <row r="180" spans="1:5" x14ac:dyDescent="0.2">
      <c r="A180" t="str">
        <f>HYPERLINK("https://www.ebi.ac.uk/ols/ontologies/fbbt/terms?iri=http://purl.obolibrary.org/obo/FBbt_00067020","FBbt:00067020")</f>
        <v>FBbt:00067020</v>
      </c>
      <c r="B180" t="s">
        <v>552</v>
      </c>
      <c r="C180" t="s">
        <v>553</v>
      </c>
      <c r="D180" t="s">
        <v>554</v>
      </c>
      <c r="E180" t="s">
        <v>555</v>
      </c>
    </row>
    <row r="181" spans="1:5" x14ac:dyDescent="0.2">
      <c r="A181" t="str">
        <f>HYPERLINK("https://www.ebi.ac.uk/ols/ontologies/fbbt/terms?iri=http://purl.obolibrary.org/obo/FBbt_00100160","FBbt:00100160")</f>
        <v>FBbt:00100160</v>
      </c>
      <c r="B181" t="s">
        <v>556</v>
      </c>
      <c r="C181" t="s">
        <v>384</v>
      </c>
      <c r="D181" t="s">
        <v>557</v>
      </c>
      <c r="E181" t="s">
        <v>539</v>
      </c>
    </row>
    <row r="182" spans="1:5" x14ac:dyDescent="0.2">
      <c r="A182" t="str">
        <f>HYPERLINK("https://www.ebi.ac.uk/ols/ontologies/fbbt/terms?iri=http://purl.obolibrary.org/obo/FBbt_00067018","FBbt:00067018")</f>
        <v>FBbt:00067018</v>
      </c>
      <c r="B182" t="s">
        <v>558</v>
      </c>
      <c r="C182" t="s">
        <v>559</v>
      </c>
      <c r="D182" t="s">
        <v>560</v>
      </c>
      <c r="E182" t="s">
        <v>561</v>
      </c>
    </row>
    <row r="183" spans="1:5" x14ac:dyDescent="0.2">
      <c r="A183" t="str">
        <f>HYPERLINK("https://www.ebi.ac.uk/ols/ontologies/fbbt/terms?iri=http://purl.obolibrary.org/obo/FBbt_00047913","FBbt:00047913")</f>
        <v>FBbt:00047913</v>
      </c>
      <c r="B183" t="s">
        <v>562</v>
      </c>
      <c r="C183" t="s">
        <v>563</v>
      </c>
      <c r="D183" t="s">
        <v>564</v>
      </c>
      <c r="E183" t="s">
        <v>434</v>
      </c>
    </row>
    <row r="184" spans="1:5" x14ac:dyDescent="0.2">
      <c r="A184" t="str">
        <f>HYPERLINK("https://www.ebi.ac.uk/ols/ontologies/fbbt/terms?iri=http://purl.obolibrary.org/obo/FBbt_00067016","FBbt:00067016")</f>
        <v>FBbt:00067016</v>
      </c>
      <c r="B184" t="s">
        <v>565</v>
      </c>
      <c r="C184" t="s">
        <v>566</v>
      </c>
      <c r="D184" t="s">
        <v>567</v>
      </c>
      <c r="E184" t="s">
        <v>568</v>
      </c>
    </row>
    <row r="185" spans="1:5" x14ac:dyDescent="0.2">
      <c r="A185" t="str">
        <f>HYPERLINK("https://www.ebi.ac.uk/ols/ontologies/fbbt/terms?iri=http://purl.obolibrary.org/obo/FBbt_00111621","FBbt:00111621")</f>
        <v>FBbt:00111621</v>
      </c>
      <c r="B185" t="s">
        <v>569</v>
      </c>
      <c r="C185" t="s">
        <v>570</v>
      </c>
      <c r="D185" t="s">
        <v>571</v>
      </c>
      <c r="E185" t="s">
        <v>301</v>
      </c>
    </row>
    <row r="186" spans="1:5" x14ac:dyDescent="0.2">
      <c r="A186" t="str">
        <f>HYPERLINK("https://www.ebi.ac.uk/ols/ontologies/fbbt/terms?iri=http://purl.obolibrary.org/obo/FBbt_00111622","FBbt:00111622")</f>
        <v>FBbt:00111622</v>
      </c>
      <c r="B186" t="s">
        <v>572</v>
      </c>
      <c r="C186" t="s">
        <v>573</v>
      </c>
      <c r="D186" t="s">
        <v>574</v>
      </c>
      <c r="E186" t="s">
        <v>301</v>
      </c>
    </row>
    <row r="187" spans="1:5" x14ac:dyDescent="0.2">
      <c r="A187" t="str">
        <f>HYPERLINK("https://www.ebi.ac.uk/ols/ontologies/fbbt/terms?iri=http://purl.obolibrary.org/obo/FBbt_00111620","FBbt:00111620")</f>
        <v>FBbt:00111620</v>
      </c>
      <c r="B187" t="s">
        <v>575</v>
      </c>
      <c r="C187" t="s">
        <v>576</v>
      </c>
      <c r="D187" t="s">
        <v>577</v>
      </c>
      <c r="E187" t="s">
        <v>301</v>
      </c>
    </row>
    <row r="188" spans="1:5" x14ac:dyDescent="0.2">
      <c r="A188" t="str">
        <f>HYPERLINK("https://www.ebi.ac.uk/ols/ontologies/fbbt/terms?iri=http://purl.obolibrary.org/obo/FBbt_00111625","FBbt:00111625")</f>
        <v>FBbt:00111625</v>
      </c>
      <c r="B188" t="s">
        <v>578</v>
      </c>
      <c r="C188" t="s">
        <v>579</v>
      </c>
      <c r="D188" t="s">
        <v>580</v>
      </c>
      <c r="E188" t="s">
        <v>301</v>
      </c>
    </row>
    <row r="189" spans="1:5" x14ac:dyDescent="0.2">
      <c r="A189" t="str">
        <f>HYPERLINK("https://www.ebi.ac.uk/ols/ontologies/fbbt/terms?iri=http://purl.obolibrary.org/obo/FBbt_00111623","FBbt:00111623")</f>
        <v>FBbt:00111623</v>
      </c>
      <c r="B189" t="s">
        <v>581</v>
      </c>
      <c r="C189" t="s">
        <v>582</v>
      </c>
      <c r="D189" t="s">
        <v>583</v>
      </c>
      <c r="E189" t="s">
        <v>301</v>
      </c>
    </row>
    <row r="190" spans="1:5" x14ac:dyDescent="0.2">
      <c r="A190" t="str">
        <f>HYPERLINK("https://www.ebi.ac.uk/ols/ontologies/fbbt/terms?iri=http://purl.obolibrary.org/obo/FBbt_00111624","FBbt:00111624")</f>
        <v>FBbt:00111624</v>
      </c>
      <c r="B190" t="s">
        <v>584</v>
      </c>
      <c r="C190" t="s">
        <v>585</v>
      </c>
      <c r="D190" t="s">
        <v>586</v>
      </c>
      <c r="E190" t="s">
        <v>301</v>
      </c>
    </row>
    <row r="191" spans="1:5" x14ac:dyDescent="0.2">
      <c r="A191" t="str">
        <f>HYPERLINK("https://www.ebi.ac.uk/ols/ontologies/fbbt/terms?iri=http://purl.obolibrary.org/obo/FBbt_00067057","FBbt:00067057")</f>
        <v>FBbt:00067057</v>
      </c>
      <c r="B191" t="s">
        <v>587</v>
      </c>
      <c r="C191" t="s">
        <v>588</v>
      </c>
      <c r="D191" t="s">
        <v>589</v>
      </c>
      <c r="E191" t="s">
        <v>590</v>
      </c>
    </row>
    <row r="192" spans="1:5" x14ac:dyDescent="0.2">
      <c r="A192" t="str">
        <f>HYPERLINK("https://www.ebi.ac.uk/ols/ontologies/fbbt/terms?iri=http://purl.obolibrary.org/obo/FBbt_00100002","FBbt:00100002")</f>
        <v>FBbt:00100002</v>
      </c>
      <c r="B192" t="s">
        <v>591</v>
      </c>
      <c r="C192" t="s">
        <v>592</v>
      </c>
      <c r="D192" t="s">
        <v>593</v>
      </c>
      <c r="E192" t="s">
        <v>594</v>
      </c>
    </row>
    <row r="193" spans="1:5" x14ac:dyDescent="0.2">
      <c r="A193" t="str">
        <f>HYPERLINK("https://www.ebi.ac.uk/ols/ontologies/fbbt/terms?iri=http://purl.obolibrary.org/obo/FBbt_00067056","FBbt:00067056")</f>
        <v>FBbt:00067056</v>
      </c>
      <c r="B193" t="s">
        <v>595</v>
      </c>
      <c r="C193" t="s">
        <v>596</v>
      </c>
      <c r="D193" t="s">
        <v>597</v>
      </c>
      <c r="E193" t="s">
        <v>598</v>
      </c>
    </row>
    <row r="194" spans="1:5" x14ac:dyDescent="0.2">
      <c r="A194" t="str">
        <f>HYPERLINK("https://www.ebi.ac.uk/ols/ontologies/fbbt/terms?iri=http://purl.obolibrary.org/obo/FBbt_00067055","FBbt:00067055")</f>
        <v>FBbt:00067055</v>
      </c>
      <c r="B194" t="s">
        <v>599</v>
      </c>
      <c r="C194" t="s">
        <v>600</v>
      </c>
      <c r="D194" t="s">
        <v>601</v>
      </c>
      <c r="E194" t="s">
        <v>602</v>
      </c>
    </row>
    <row r="195" spans="1:5" x14ac:dyDescent="0.2">
      <c r="A195" t="str">
        <f>HYPERLINK("https://www.ebi.ac.uk/ols/ontologies/fbbt/terms?iri=http://purl.obolibrary.org/obo/FBbt_00067054","FBbt:00067054")</f>
        <v>FBbt:00067054</v>
      </c>
      <c r="B195" t="s">
        <v>603</v>
      </c>
      <c r="C195" t="s">
        <v>604</v>
      </c>
      <c r="D195" t="s">
        <v>605</v>
      </c>
      <c r="E195" t="s">
        <v>606</v>
      </c>
    </row>
    <row r="196" spans="1:5" x14ac:dyDescent="0.2">
      <c r="A196" t="str">
        <f>HYPERLINK("https://www.ebi.ac.uk/ols/ontologies/fbbt/terms?iri=http://purl.obolibrary.org/obo/FBbt_00067052","FBbt:00067052")</f>
        <v>FBbt:00067052</v>
      </c>
      <c r="B196" t="s">
        <v>607</v>
      </c>
      <c r="C196" t="s">
        <v>608</v>
      </c>
      <c r="D196" t="s">
        <v>609</v>
      </c>
      <c r="E196" t="s">
        <v>610</v>
      </c>
    </row>
    <row r="197" spans="1:5" x14ac:dyDescent="0.2">
      <c r="A197" t="str">
        <f>HYPERLINK("https://www.ebi.ac.uk/ols/ontologies/fbbt/terms?iri=http://purl.obolibrary.org/obo/FBbt_00048209","FBbt:00048209")</f>
        <v>FBbt:00048209</v>
      </c>
      <c r="B197" t="s">
        <v>611</v>
      </c>
      <c r="C197" t="s">
        <v>612</v>
      </c>
      <c r="D197" t="s">
        <v>613</v>
      </c>
      <c r="E197" t="s">
        <v>304</v>
      </c>
    </row>
    <row r="198" spans="1:5" x14ac:dyDescent="0.2">
      <c r="A198" t="str">
        <f>HYPERLINK("https://www.ebi.ac.uk/ols/ontologies/fbbt/terms?iri=http://purl.obolibrary.org/obo/FBbt_00067051","FBbt:00067051")</f>
        <v>FBbt:00067051</v>
      </c>
      <c r="B198" t="s">
        <v>614</v>
      </c>
      <c r="C198" t="s">
        <v>615</v>
      </c>
      <c r="D198" t="s">
        <v>616</v>
      </c>
      <c r="E198" t="s">
        <v>617</v>
      </c>
    </row>
    <row r="199" spans="1:5" x14ac:dyDescent="0.2">
      <c r="A199" t="str">
        <f>HYPERLINK("https://www.ebi.ac.uk/ols/ontologies/fbbt/terms?iri=http://purl.obolibrary.org/obo/FBbt_00100088","FBbt:00100088")</f>
        <v>FBbt:00100088</v>
      </c>
      <c r="B199" t="s">
        <v>618</v>
      </c>
      <c r="C199" t="s">
        <v>8</v>
      </c>
      <c r="D199" t="s">
        <v>619</v>
      </c>
      <c r="E199" t="s">
        <v>37</v>
      </c>
    </row>
    <row r="200" spans="1:5" x14ac:dyDescent="0.2">
      <c r="A200" t="str">
        <f>HYPERLINK("https://www.ebi.ac.uk/ols/ontologies/fbbt/terms?iri=http://purl.obolibrary.org/obo/FBbt_00100089","FBbt:00100089")</f>
        <v>FBbt:00100089</v>
      </c>
      <c r="B200" t="s">
        <v>620</v>
      </c>
      <c r="C200" t="s">
        <v>8</v>
      </c>
      <c r="D200" t="s">
        <v>621</v>
      </c>
      <c r="E200" t="s">
        <v>37</v>
      </c>
    </row>
    <row r="201" spans="1:5" x14ac:dyDescent="0.2">
      <c r="A201" t="str">
        <f>HYPERLINK("https://www.ebi.ac.uk/ols/ontologies/fbbt/terms?iri=http://purl.obolibrary.org/obo/FBbt_00067059","FBbt:00067059")</f>
        <v>FBbt:00067059</v>
      </c>
      <c r="B201" t="s">
        <v>622</v>
      </c>
      <c r="C201" t="s">
        <v>623</v>
      </c>
      <c r="D201" t="s">
        <v>624</v>
      </c>
      <c r="E201" t="s">
        <v>625</v>
      </c>
    </row>
    <row r="202" spans="1:5" x14ac:dyDescent="0.2">
      <c r="A202" t="str">
        <f>HYPERLINK("https://www.ebi.ac.uk/ols/ontologies/fbbt/terms?iri=http://purl.obolibrary.org/obo/FBbt_00067050","FBbt:00067050")</f>
        <v>FBbt:00067050</v>
      </c>
      <c r="B202" t="s">
        <v>626</v>
      </c>
      <c r="C202" t="s">
        <v>627</v>
      </c>
      <c r="D202" t="s">
        <v>628</v>
      </c>
      <c r="E202" t="s">
        <v>629</v>
      </c>
    </row>
    <row r="203" spans="1:5" x14ac:dyDescent="0.2">
      <c r="A203" t="str">
        <f>HYPERLINK("https://www.ebi.ac.uk/ols/ontologies/fbbt/terms?iri=http://purl.obolibrary.org/obo/FBbt_00048226","FBbt:00048226")</f>
        <v>FBbt:00048226</v>
      </c>
      <c r="B203" t="s">
        <v>630</v>
      </c>
      <c r="C203" t="s">
        <v>8</v>
      </c>
      <c r="D203" t="s">
        <v>631</v>
      </c>
      <c r="E203" t="s">
        <v>632</v>
      </c>
    </row>
    <row r="204" spans="1:5" x14ac:dyDescent="0.2">
      <c r="A204" t="str">
        <f>HYPERLINK("https://www.ebi.ac.uk/ols/ontologies/fbbt/terms?iri=http://purl.obolibrary.org/obo/FBbt_00004221","FBbt:00004221")</f>
        <v>FBbt:00004221</v>
      </c>
      <c r="B204" t="s">
        <v>633</v>
      </c>
      <c r="C204" t="s">
        <v>634</v>
      </c>
      <c r="D204" t="s">
        <v>635</v>
      </c>
      <c r="E204" t="s">
        <v>453</v>
      </c>
    </row>
    <row r="205" spans="1:5" x14ac:dyDescent="0.2">
      <c r="A205" t="str">
        <f>HYPERLINK("https://www.ebi.ac.uk/ols/ontologies/fbbt/terms?iri=http://purl.obolibrary.org/obo/FBbt_00100091","FBbt:00100091")</f>
        <v>FBbt:00100091</v>
      </c>
      <c r="B205" t="s">
        <v>636</v>
      </c>
      <c r="C205" t="s">
        <v>8</v>
      </c>
      <c r="D205" t="s">
        <v>637</v>
      </c>
      <c r="E205" t="s">
        <v>37</v>
      </c>
    </row>
    <row r="206" spans="1:5" x14ac:dyDescent="0.2">
      <c r="A206" t="str">
        <f>HYPERLINK("https://www.ebi.ac.uk/ols/ontologies/fbbt/terms?iri=http://purl.obolibrary.org/obo/FBbt_00100012","FBbt:00100012")</f>
        <v>FBbt:00100012</v>
      </c>
      <c r="B206" t="s">
        <v>638</v>
      </c>
      <c r="C206" t="s">
        <v>639</v>
      </c>
      <c r="D206" t="s">
        <v>640</v>
      </c>
      <c r="E206" t="s">
        <v>641</v>
      </c>
    </row>
    <row r="207" spans="1:5" x14ac:dyDescent="0.2">
      <c r="A207" t="str">
        <f>HYPERLINK("https://www.ebi.ac.uk/ols/ontologies/fbbt/terms?iri=http://purl.obolibrary.org/obo/FBbt_00067044","FBbt:00067044")</f>
        <v>FBbt:00067044</v>
      </c>
      <c r="B207" t="s">
        <v>642</v>
      </c>
      <c r="C207" t="s">
        <v>643</v>
      </c>
      <c r="D207" t="s">
        <v>644</v>
      </c>
      <c r="E207" t="s">
        <v>645</v>
      </c>
    </row>
    <row r="208" spans="1:5" x14ac:dyDescent="0.2">
      <c r="A208" t="str">
        <f>HYPERLINK("https://www.ebi.ac.uk/ols/ontologies/fbbt/terms?iri=http://purl.obolibrary.org/obo/FBbt_00100090","FBbt:00100090")</f>
        <v>FBbt:00100090</v>
      </c>
      <c r="B208" t="s">
        <v>646</v>
      </c>
      <c r="C208" t="s">
        <v>8</v>
      </c>
      <c r="D208" t="s">
        <v>647</v>
      </c>
      <c r="E208" t="s">
        <v>37</v>
      </c>
    </row>
    <row r="209" spans="1:5" x14ac:dyDescent="0.2">
      <c r="A209" t="str">
        <f>HYPERLINK("https://www.ebi.ac.uk/ols/ontologies/fbbt/terms?iri=http://purl.obolibrary.org/obo/FBbt_00100093","FBbt:00100093")</f>
        <v>FBbt:00100093</v>
      </c>
      <c r="B209" t="s">
        <v>648</v>
      </c>
      <c r="C209" t="s">
        <v>8</v>
      </c>
      <c r="D209" t="s">
        <v>649</v>
      </c>
      <c r="E209" t="s">
        <v>37</v>
      </c>
    </row>
    <row r="210" spans="1:5" x14ac:dyDescent="0.2">
      <c r="A210" t="str">
        <f>HYPERLINK("https://www.ebi.ac.uk/ols/ontologies/fbbt/terms?iri=http://purl.obolibrary.org/obo/FBbt_00067042","FBbt:00067042")</f>
        <v>FBbt:00067042</v>
      </c>
      <c r="B210" t="s">
        <v>650</v>
      </c>
      <c r="C210" t="s">
        <v>651</v>
      </c>
      <c r="D210" t="s">
        <v>652</v>
      </c>
      <c r="E210" t="s">
        <v>653</v>
      </c>
    </row>
    <row r="211" spans="1:5" x14ac:dyDescent="0.2">
      <c r="A211" t="str">
        <f>HYPERLINK("https://www.ebi.ac.uk/ols/ontologies/fbbt/terms?iri=http://purl.obolibrary.org/obo/FBbt_00100092","FBbt:00100092")</f>
        <v>FBbt:00100092</v>
      </c>
      <c r="B211" t="s">
        <v>654</v>
      </c>
      <c r="C211" t="s">
        <v>8</v>
      </c>
      <c r="D211" t="s">
        <v>655</v>
      </c>
      <c r="E211" t="s">
        <v>37</v>
      </c>
    </row>
    <row r="212" spans="1:5" x14ac:dyDescent="0.2">
      <c r="A212" t="str">
        <f>HYPERLINK("https://www.ebi.ac.uk/ols/ontologies/fbbt/terms?iri=http://purl.obolibrary.org/obo/FBbt_00100095","FBbt:00100095")</f>
        <v>FBbt:00100095</v>
      </c>
      <c r="B212" t="s">
        <v>656</v>
      </c>
      <c r="C212" t="s">
        <v>657</v>
      </c>
      <c r="D212" t="s">
        <v>658</v>
      </c>
      <c r="E212" t="s">
        <v>37</v>
      </c>
    </row>
    <row r="213" spans="1:5" x14ac:dyDescent="0.2">
      <c r="A213" t="str">
        <f>HYPERLINK("https://www.ebi.ac.uk/ols/ontologies/fbbt/terms?iri=http://purl.obolibrary.org/obo/FBbt_00048221","FBbt:00048221")</f>
        <v>FBbt:00048221</v>
      </c>
      <c r="B213" t="s">
        <v>659</v>
      </c>
      <c r="C213" t="s">
        <v>8</v>
      </c>
      <c r="D213" t="s">
        <v>660</v>
      </c>
      <c r="E213" t="s">
        <v>632</v>
      </c>
    </row>
    <row r="214" spans="1:5" x14ac:dyDescent="0.2">
      <c r="A214" t="str">
        <f>HYPERLINK("https://www.ebi.ac.uk/ols/ontologies/fbbt/terms?iri=http://purl.obolibrary.org/obo/FBbt_00067041","FBbt:00067041")</f>
        <v>FBbt:00067041</v>
      </c>
      <c r="B214" t="s">
        <v>661</v>
      </c>
      <c r="C214" t="s">
        <v>662</v>
      </c>
      <c r="D214" t="s">
        <v>663</v>
      </c>
      <c r="E214" t="s">
        <v>664</v>
      </c>
    </row>
    <row r="215" spans="1:5" x14ac:dyDescent="0.2">
      <c r="A215" t="str">
        <f>HYPERLINK("https://www.ebi.ac.uk/ols/ontologies/fbbt/terms?iri=http://purl.obolibrary.org/obo/FBbt_00004209","FBbt:00004209")</f>
        <v>FBbt:00004209</v>
      </c>
      <c r="B215" t="s">
        <v>665</v>
      </c>
      <c r="C215" t="s">
        <v>8</v>
      </c>
      <c r="D215" t="s">
        <v>666</v>
      </c>
      <c r="E215" t="s">
        <v>209</v>
      </c>
    </row>
    <row r="216" spans="1:5" x14ac:dyDescent="0.2">
      <c r="A216" t="str">
        <f>HYPERLINK("https://www.ebi.ac.uk/ols/ontologies/fbbt/terms?iri=http://purl.obolibrary.org/obo/FBbt_00100094","FBbt:00100094")</f>
        <v>FBbt:00100094</v>
      </c>
      <c r="B216" t="s">
        <v>667</v>
      </c>
      <c r="C216" t="s">
        <v>668</v>
      </c>
      <c r="D216" t="s">
        <v>669</v>
      </c>
      <c r="E216" t="s">
        <v>37</v>
      </c>
    </row>
    <row r="217" spans="1:5" x14ac:dyDescent="0.2">
      <c r="A217" t="str">
        <f>HYPERLINK("https://www.ebi.ac.uk/ols/ontologies/fbbt/terms?iri=http://purl.obolibrary.org/obo/FBbt_00048220","FBbt:00048220")</f>
        <v>FBbt:00048220</v>
      </c>
      <c r="B217" t="s">
        <v>670</v>
      </c>
      <c r="C217" t="s">
        <v>8</v>
      </c>
      <c r="D217" t="s">
        <v>671</v>
      </c>
      <c r="E217" t="s">
        <v>304</v>
      </c>
    </row>
    <row r="218" spans="1:5" x14ac:dyDescent="0.2">
      <c r="A218" t="str">
        <f>HYPERLINK("https://www.ebi.ac.uk/ols/ontologies/fbbt/terms?iri=http://purl.obolibrary.org/obo/FBbt_00100097","FBbt:00100097")</f>
        <v>FBbt:00100097</v>
      </c>
      <c r="B218" t="s">
        <v>672</v>
      </c>
      <c r="C218" t="s">
        <v>673</v>
      </c>
      <c r="D218" t="s">
        <v>674</v>
      </c>
      <c r="E218" t="s">
        <v>37</v>
      </c>
    </row>
    <row r="219" spans="1:5" x14ac:dyDescent="0.2">
      <c r="A219" t="str">
        <f>HYPERLINK("https://www.ebi.ac.uk/ols/ontologies/fbbt/terms?iri=http://purl.obolibrary.org/obo/FBbt_00100096","FBbt:00100096")</f>
        <v>FBbt:00100096</v>
      </c>
      <c r="B219" t="s">
        <v>675</v>
      </c>
      <c r="C219" t="s">
        <v>676</v>
      </c>
      <c r="D219" t="s">
        <v>677</v>
      </c>
      <c r="E219" t="s">
        <v>37</v>
      </c>
    </row>
    <row r="220" spans="1:5" x14ac:dyDescent="0.2">
      <c r="A220" t="str">
        <f>HYPERLINK("https://www.ebi.ac.uk/ols/ontologies/fbbt/terms?iri=http://purl.obolibrary.org/obo/FBbt_00100098","FBbt:00100098")</f>
        <v>FBbt:00100098</v>
      </c>
      <c r="B220" t="s">
        <v>678</v>
      </c>
      <c r="C220" t="s">
        <v>679</v>
      </c>
      <c r="D220" t="s">
        <v>680</v>
      </c>
      <c r="E220" t="s">
        <v>37</v>
      </c>
    </row>
    <row r="221" spans="1:5" x14ac:dyDescent="0.2">
      <c r="A221" t="str">
        <f>HYPERLINK("https://www.ebi.ac.uk/ols/ontologies/fbbt/terms?iri=http://purl.obolibrary.org/obo/FBbt_00004227","FBbt:00004227")</f>
        <v>FBbt:00004227</v>
      </c>
      <c r="B221" t="s">
        <v>681</v>
      </c>
      <c r="C221" t="s">
        <v>682</v>
      </c>
      <c r="D221" t="s">
        <v>683</v>
      </c>
      <c r="E221" t="s">
        <v>684</v>
      </c>
    </row>
    <row r="222" spans="1:5" x14ac:dyDescent="0.2">
      <c r="A222" t="str">
        <f>HYPERLINK("https://www.ebi.ac.uk/ols/ontologies/fbbt/terms?iri=http://purl.obolibrary.org/obo/FBbt_00004225","FBbt:00004225")</f>
        <v>FBbt:00004225</v>
      </c>
      <c r="B222" t="s">
        <v>685</v>
      </c>
      <c r="C222" t="s">
        <v>686</v>
      </c>
      <c r="D222" t="s">
        <v>687</v>
      </c>
      <c r="E222" t="s">
        <v>684</v>
      </c>
    </row>
    <row r="223" spans="1:5" x14ac:dyDescent="0.2">
      <c r="A223" t="str">
        <f>HYPERLINK("https://www.ebi.ac.uk/ols/ontologies/fbbt/terms?iri=http://purl.obolibrary.org/obo/FBbt_00067049","FBbt:00067049")</f>
        <v>FBbt:00067049</v>
      </c>
      <c r="B223" t="s">
        <v>688</v>
      </c>
      <c r="C223" t="s">
        <v>689</v>
      </c>
      <c r="D223" t="s">
        <v>690</v>
      </c>
      <c r="E223" t="s">
        <v>691</v>
      </c>
    </row>
    <row r="224" spans="1:5" x14ac:dyDescent="0.2">
      <c r="A224" t="str">
        <f>HYPERLINK("https://www.ebi.ac.uk/ols/ontologies/fbbt/terms?iri=http://purl.obolibrary.org/obo/FBbt_00067048","FBbt:00067048")</f>
        <v>FBbt:00067048</v>
      </c>
      <c r="B224" t="s">
        <v>692</v>
      </c>
      <c r="C224" t="s">
        <v>693</v>
      </c>
      <c r="D224" t="s">
        <v>694</v>
      </c>
      <c r="E224" t="s">
        <v>695</v>
      </c>
    </row>
    <row r="225" spans="1:5" x14ac:dyDescent="0.2">
      <c r="A225" t="str">
        <f>HYPERLINK("https://www.ebi.ac.uk/ols/ontologies/fbbt/terms?iri=http://purl.obolibrary.org/obo/FBbt_00004223","FBbt:00004223")</f>
        <v>FBbt:00004223</v>
      </c>
      <c r="B225" t="s">
        <v>696</v>
      </c>
      <c r="C225" t="s">
        <v>697</v>
      </c>
      <c r="D225" t="s">
        <v>698</v>
      </c>
      <c r="E225" t="s">
        <v>453</v>
      </c>
    </row>
    <row r="226" spans="1:5" x14ac:dyDescent="0.2">
      <c r="A226" t="str">
        <f>HYPERLINK("https://www.ebi.ac.uk/ols/ontologies/fbbt/terms?iri=http://purl.obolibrary.org/obo/FBbt_00067047","FBbt:00067047")</f>
        <v>FBbt:00067047</v>
      </c>
      <c r="B226" t="s">
        <v>699</v>
      </c>
      <c r="C226" t="s">
        <v>700</v>
      </c>
      <c r="D226" t="s">
        <v>701</v>
      </c>
      <c r="E226" t="s">
        <v>702</v>
      </c>
    </row>
    <row r="227" spans="1:5" x14ac:dyDescent="0.2">
      <c r="A227" t="str">
        <f>HYPERLINK("https://www.ebi.ac.uk/ols/ontologies/fbbt/terms?iri=http://purl.obolibrary.org/obo/FBbt_00067046","FBbt:00067046")</f>
        <v>FBbt:00067046</v>
      </c>
      <c r="B227" t="s">
        <v>703</v>
      </c>
      <c r="C227" t="s">
        <v>704</v>
      </c>
      <c r="D227" t="s">
        <v>705</v>
      </c>
      <c r="E227" t="s">
        <v>706</v>
      </c>
    </row>
    <row r="228" spans="1:5" x14ac:dyDescent="0.2">
      <c r="A228" t="str">
        <f>HYPERLINK("https://www.ebi.ac.uk/ols/ontologies/fbbt/terms?iri=http://purl.obolibrary.org/obo/FBbt_00048219","FBbt:00048219")</f>
        <v>FBbt:00048219</v>
      </c>
      <c r="B228" t="s">
        <v>707</v>
      </c>
      <c r="C228" t="s">
        <v>8</v>
      </c>
      <c r="D228" t="s">
        <v>708</v>
      </c>
      <c r="E228" t="s">
        <v>632</v>
      </c>
    </row>
    <row r="229" spans="1:5" x14ac:dyDescent="0.2">
      <c r="A229" t="str">
        <f>HYPERLINK("https://www.ebi.ac.uk/ols/ontologies/fbbt/terms?iri=http://purl.obolibrary.org/obo/FBbt_00048218","FBbt:00048218")</f>
        <v>FBbt:00048218</v>
      </c>
      <c r="B229" t="s">
        <v>709</v>
      </c>
      <c r="C229" t="s">
        <v>8</v>
      </c>
      <c r="D229" t="s">
        <v>710</v>
      </c>
      <c r="E229" t="s">
        <v>632</v>
      </c>
    </row>
    <row r="230" spans="1:5" x14ac:dyDescent="0.2">
      <c r="A230" t="str">
        <f>HYPERLINK("https://www.ebi.ac.uk/ols/ontologies/fbbt/terms?iri=http://purl.obolibrary.org/obo/FBbt_00048217","FBbt:00048217")</f>
        <v>FBbt:00048217</v>
      </c>
      <c r="B230" t="s">
        <v>711</v>
      </c>
      <c r="C230" t="s">
        <v>8</v>
      </c>
      <c r="D230" t="s">
        <v>712</v>
      </c>
      <c r="E230" t="s">
        <v>304</v>
      </c>
    </row>
    <row r="231" spans="1:5" x14ac:dyDescent="0.2">
      <c r="A231" t="str">
        <f>HYPERLINK("https://www.ebi.ac.uk/ols/ontologies/fbbt/terms?iri=http://purl.obolibrary.org/obo/FBbt_00048216","FBbt:00048216")</f>
        <v>FBbt:00048216</v>
      </c>
      <c r="B231" t="s">
        <v>713</v>
      </c>
      <c r="C231" t="s">
        <v>8</v>
      </c>
      <c r="D231" t="s">
        <v>714</v>
      </c>
      <c r="E231" t="s">
        <v>632</v>
      </c>
    </row>
    <row r="232" spans="1:5" x14ac:dyDescent="0.2">
      <c r="A232" t="str">
        <f>HYPERLINK("https://www.ebi.ac.uk/ols/ontologies/fbbt/terms?iri=http://purl.obolibrary.org/obo/FBbt_00048215","FBbt:00048215")</f>
        <v>FBbt:00048215</v>
      </c>
      <c r="B232" t="s">
        <v>715</v>
      </c>
      <c r="C232" t="s">
        <v>8</v>
      </c>
      <c r="D232" t="s">
        <v>716</v>
      </c>
      <c r="E232" t="s">
        <v>632</v>
      </c>
    </row>
    <row r="233" spans="1:5" x14ac:dyDescent="0.2">
      <c r="A233" t="str">
        <f>HYPERLINK("https://www.ebi.ac.uk/ols/ontologies/fbbt/terms?iri=http://purl.obolibrary.org/obo/FBbt_00048149","FBbt:00048149")</f>
        <v>FBbt:00048149</v>
      </c>
      <c r="B233" t="s">
        <v>717</v>
      </c>
      <c r="C233" t="s">
        <v>718</v>
      </c>
      <c r="D233" t="s">
        <v>719</v>
      </c>
      <c r="E233" t="s">
        <v>720</v>
      </c>
    </row>
    <row r="234" spans="1:5" x14ac:dyDescent="0.2">
      <c r="A234" t="str">
        <f>HYPERLINK("https://www.ebi.ac.uk/ols/ontologies/fbbt/terms?iri=http://purl.obolibrary.org/obo/FBbt_00048148","FBbt:00048148")</f>
        <v>FBbt:00048148</v>
      </c>
      <c r="B234" t="s">
        <v>721</v>
      </c>
      <c r="C234" t="s">
        <v>722</v>
      </c>
      <c r="D234" t="s">
        <v>723</v>
      </c>
      <c r="E234" t="s">
        <v>720</v>
      </c>
    </row>
    <row r="235" spans="1:5" x14ac:dyDescent="0.2">
      <c r="A235" t="str">
        <f>HYPERLINK("https://www.ebi.ac.uk/ols/ontologies/fbbt/terms?iri=http://purl.obolibrary.org/obo/FBbt_00048231","FBbt:00048231")</f>
        <v>FBbt:00048231</v>
      </c>
      <c r="B235" t="s">
        <v>724</v>
      </c>
      <c r="C235" t="s">
        <v>8</v>
      </c>
      <c r="D235" t="s">
        <v>725</v>
      </c>
      <c r="E235" t="s">
        <v>304</v>
      </c>
    </row>
    <row r="236" spans="1:5" x14ac:dyDescent="0.2">
      <c r="A236" t="str">
        <f>HYPERLINK("https://www.ebi.ac.uk/ols/ontologies/fbbt/terms?iri=http://purl.obolibrary.org/obo/FBbt_00048230","FBbt:00048230")</f>
        <v>FBbt:00048230</v>
      </c>
      <c r="B236" t="s">
        <v>726</v>
      </c>
      <c r="C236" t="s">
        <v>8</v>
      </c>
      <c r="D236" t="s">
        <v>727</v>
      </c>
      <c r="E236" t="s">
        <v>632</v>
      </c>
    </row>
    <row r="237" spans="1:5" x14ac:dyDescent="0.2">
      <c r="A237" t="str">
        <f>HYPERLINK("https://www.ebi.ac.uk/ols/ontologies/fbbt/terms?iri=http://purl.obolibrary.org/obo/FBbt_00048054","FBbt:00048054")</f>
        <v>FBbt:00048054</v>
      </c>
      <c r="B237" t="s">
        <v>728</v>
      </c>
      <c r="C237" t="s">
        <v>8</v>
      </c>
      <c r="D237" t="s">
        <v>729</v>
      </c>
      <c r="E237" t="s">
        <v>11</v>
      </c>
    </row>
    <row r="238" spans="1:5" x14ac:dyDescent="0.2">
      <c r="A238" t="str">
        <f>HYPERLINK("https://www.ebi.ac.uk/ols/ontologies/fbbt/terms?iri=http://purl.obolibrary.org/obo/FBbt_00048147","FBbt:00048147")</f>
        <v>FBbt:00048147</v>
      </c>
      <c r="B238" t="s">
        <v>730</v>
      </c>
      <c r="C238" t="s">
        <v>731</v>
      </c>
      <c r="D238" t="s">
        <v>732</v>
      </c>
      <c r="E238" t="s">
        <v>720</v>
      </c>
    </row>
    <row r="239" spans="1:5" x14ac:dyDescent="0.2">
      <c r="A239" t="str">
        <f>HYPERLINK("https://www.ebi.ac.uk/ols/ontologies/fbbt/terms?iri=http://purl.obolibrary.org/obo/FBbt_00048053","FBbt:00048053")</f>
        <v>FBbt:00048053</v>
      </c>
      <c r="B239" t="s">
        <v>733</v>
      </c>
      <c r="C239" t="s">
        <v>8</v>
      </c>
      <c r="D239" t="s">
        <v>734</v>
      </c>
      <c r="E239" t="s">
        <v>11</v>
      </c>
    </row>
    <row r="240" spans="1:5" x14ac:dyDescent="0.2">
      <c r="A240" t="str">
        <f>HYPERLINK("https://www.ebi.ac.uk/ols/ontologies/fbbt/terms?iri=http://purl.obolibrary.org/obo/FBbt_00048146","FBbt:00048146")</f>
        <v>FBbt:00048146</v>
      </c>
      <c r="B240" t="s">
        <v>735</v>
      </c>
      <c r="C240" t="s">
        <v>736</v>
      </c>
      <c r="D240" t="s">
        <v>737</v>
      </c>
      <c r="E240" t="s">
        <v>720</v>
      </c>
    </row>
    <row r="241" spans="1:5" x14ac:dyDescent="0.2">
      <c r="A241" t="str">
        <f>HYPERLINK("https://www.ebi.ac.uk/ols/ontologies/fbbt/terms?iri=http://purl.obolibrary.org/obo/FBbt_00048052","FBbt:00048052")</f>
        <v>FBbt:00048052</v>
      </c>
      <c r="B241" t="s">
        <v>738</v>
      </c>
      <c r="C241" t="s">
        <v>8</v>
      </c>
      <c r="D241" t="s">
        <v>739</v>
      </c>
      <c r="E241" t="s">
        <v>11</v>
      </c>
    </row>
    <row r="242" spans="1:5" x14ac:dyDescent="0.2">
      <c r="A242" t="str">
        <f>HYPERLINK("https://www.ebi.ac.uk/ols/ontologies/fbbt/terms?iri=http://purl.obolibrary.org/obo/FBbt_00048145","FBbt:00048145")</f>
        <v>FBbt:00048145</v>
      </c>
      <c r="B242" t="s">
        <v>740</v>
      </c>
      <c r="C242" t="s">
        <v>741</v>
      </c>
      <c r="D242" t="s">
        <v>742</v>
      </c>
      <c r="E242" t="s">
        <v>720</v>
      </c>
    </row>
    <row r="243" spans="1:5" x14ac:dyDescent="0.2">
      <c r="A243" t="str">
        <f>HYPERLINK("https://www.ebi.ac.uk/ols/ontologies/fbbt/terms?iri=http://purl.obolibrary.org/obo/FBbt_00048015","FBbt:00048015")</f>
        <v>FBbt:00048015</v>
      </c>
      <c r="B243" t="s">
        <v>743</v>
      </c>
      <c r="C243" t="s">
        <v>8</v>
      </c>
      <c r="D243" t="s">
        <v>744</v>
      </c>
      <c r="E243" t="s">
        <v>418</v>
      </c>
    </row>
    <row r="244" spans="1:5" x14ac:dyDescent="0.2">
      <c r="A244" t="str">
        <f>HYPERLINK("https://www.ebi.ac.uk/ols/ontologies/fbbt/terms?iri=http://purl.obolibrary.org/obo/FBbt_00048144","FBbt:00048144")</f>
        <v>FBbt:00048144</v>
      </c>
      <c r="B244" t="s">
        <v>745</v>
      </c>
      <c r="C244" t="s">
        <v>746</v>
      </c>
      <c r="D244" t="s">
        <v>747</v>
      </c>
      <c r="E244" t="s">
        <v>720</v>
      </c>
    </row>
    <row r="245" spans="1:5" x14ac:dyDescent="0.2">
      <c r="A245" t="str">
        <f>HYPERLINK("https://www.ebi.ac.uk/ols/ontologies/fbbt/terms?iri=http://purl.obolibrary.org/obo/FBbt_00047183","FBbt:00047183")</f>
        <v>FBbt:00047183</v>
      </c>
      <c r="B245" t="s">
        <v>748</v>
      </c>
      <c r="C245" t="s">
        <v>749</v>
      </c>
      <c r="D245" t="s">
        <v>750</v>
      </c>
      <c r="E245" t="s">
        <v>751</v>
      </c>
    </row>
    <row r="246" spans="1:5" x14ac:dyDescent="0.2">
      <c r="A246" t="str">
        <f>HYPERLINK("https://www.ebi.ac.uk/ols/ontologies/fbbt/terms?iri=http://purl.obolibrary.org/obo/FBbt_00048151","FBbt:00048151")</f>
        <v>FBbt:00048151</v>
      </c>
      <c r="B246" t="s">
        <v>752</v>
      </c>
      <c r="C246" t="s">
        <v>753</v>
      </c>
      <c r="D246" t="s">
        <v>754</v>
      </c>
      <c r="E246" t="s">
        <v>720</v>
      </c>
    </row>
    <row r="247" spans="1:5" x14ac:dyDescent="0.2">
      <c r="A247" t="str">
        <f>HYPERLINK("https://www.ebi.ac.uk/ols/ontologies/fbbt/terms?iri=http://purl.obolibrary.org/obo/FBbt_00048150","FBbt:00048150")</f>
        <v>FBbt:00048150</v>
      </c>
      <c r="B247" t="s">
        <v>755</v>
      </c>
      <c r="C247" t="s">
        <v>756</v>
      </c>
      <c r="D247" t="s">
        <v>757</v>
      </c>
      <c r="E247" t="s">
        <v>720</v>
      </c>
    </row>
    <row r="248" spans="1:5" x14ac:dyDescent="0.2">
      <c r="A248" t="str">
        <f>HYPERLINK("https://www.ebi.ac.uk/ols/ontologies/fbbt/terms?iri=http://purl.obolibrary.org/obo/FBbt_00048229","FBbt:00048229")</f>
        <v>FBbt:00048229</v>
      </c>
      <c r="B248" t="s">
        <v>758</v>
      </c>
      <c r="C248" t="s">
        <v>8</v>
      </c>
      <c r="D248" t="s">
        <v>759</v>
      </c>
      <c r="E248" t="s">
        <v>632</v>
      </c>
    </row>
    <row r="249" spans="1:5" x14ac:dyDescent="0.2">
      <c r="A249" t="str">
        <f>HYPERLINK("https://www.ebi.ac.uk/ols/ontologies/fbbt/terms?iri=http://purl.obolibrary.org/obo/FBbt_00048228","FBbt:00048228")</f>
        <v>FBbt:00048228</v>
      </c>
      <c r="B249" t="s">
        <v>760</v>
      </c>
      <c r="C249" t="s">
        <v>8</v>
      </c>
      <c r="D249" t="s">
        <v>761</v>
      </c>
      <c r="E249" t="s">
        <v>304</v>
      </c>
    </row>
    <row r="250" spans="1:5" x14ac:dyDescent="0.2">
      <c r="A250" t="str">
        <f>HYPERLINK("https://www.ebi.ac.uk/ols/ontologies/fbbt/terms?iri=http://purl.obolibrary.org/obo/FBbt_00048227","FBbt:00048227")</f>
        <v>FBbt:00048227</v>
      </c>
      <c r="B250" t="s">
        <v>762</v>
      </c>
      <c r="C250" t="s">
        <v>8</v>
      </c>
      <c r="D250" t="s">
        <v>763</v>
      </c>
      <c r="E250" t="s">
        <v>632</v>
      </c>
    </row>
    <row r="251" spans="1:5" x14ac:dyDescent="0.2">
      <c r="A251" t="str">
        <f>HYPERLINK("https://www.ebi.ac.uk/ols/ontologies/fbbt/terms?iri=http://purl.obolibrary.org/obo/FBbt_00067064","FBbt:00067064")</f>
        <v>FBbt:00067064</v>
      </c>
      <c r="B251" t="s">
        <v>764</v>
      </c>
      <c r="C251" t="s">
        <v>765</v>
      </c>
      <c r="D251" t="s">
        <v>766</v>
      </c>
      <c r="E251" t="s">
        <v>767</v>
      </c>
    </row>
    <row r="252" spans="1:5" x14ac:dyDescent="0.2">
      <c r="A252" t="str">
        <f>HYPERLINK("https://www.ebi.ac.uk/ols/ontologies/fbbt/terms?iri=http://purl.obolibrary.org/obo/FBbt_00110668","FBbt:00110668")</f>
        <v>FBbt:00110668</v>
      </c>
      <c r="B252" t="s">
        <v>768</v>
      </c>
      <c r="C252" t="s">
        <v>769</v>
      </c>
      <c r="D252" t="s">
        <v>770</v>
      </c>
      <c r="E252" t="s">
        <v>771</v>
      </c>
    </row>
    <row r="253" spans="1:5" x14ac:dyDescent="0.2">
      <c r="A253" t="str">
        <f>HYPERLINK("https://www.ebi.ac.uk/ols/ontologies/fbbt/terms?iri=http://purl.obolibrary.org/obo/FBbt_00110669","FBbt:00110669")</f>
        <v>FBbt:00110669</v>
      </c>
      <c r="B253" t="s">
        <v>772</v>
      </c>
      <c r="C253" t="s">
        <v>769</v>
      </c>
      <c r="D253" t="s">
        <v>773</v>
      </c>
      <c r="E253" t="s">
        <v>771</v>
      </c>
    </row>
    <row r="254" spans="1:5" x14ac:dyDescent="0.2">
      <c r="A254" t="str">
        <f>HYPERLINK("https://www.ebi.ac.uk/ols/ontologies/fbbt/terms?iri=http://purl.obolibrary.org/obo/FBbt_00048152","FBbt:00048152")</f>
        <v>FBbt:00048152</v>
      </c>
      <c r="B254" t="s">
        <v>774</v>
      </c>
      <c r="C254" t="s">
        <v>775</v>
      </c>
      <c r="D254" t="s">
        <v>776</v>
      </c>
      <c r="E254" t="s">
        <v>777</v>
      </c>
    </row>
    <row r="255" spans="1:5" x14ac:dyDescent="0.2">
      <c r="A255" t="str">
        <f>HYPERLINK("https://www.ebi.ac.uk/ols/ontologies/fbbt/terms?iri=http://purl.obolibrary.org/obo/FBbt_00067063","FBbt:00067063")</f>
        <v>FBbt:00067063</v>
      </c>
      <c r="B255" t="s">
        <v>778</v>
      </c>
      <c r="C255" t="s">
        <v>779</v>
      </c>
      <c r="D255" t="s">
        <v>780</v>
      </c>
      <c r="E255" t="s">
        <v>781</v>
      </c>
    </row>
    <row r="256" spans="1:5" x14ac:dyDescent="0.2">
      <c r="A256" t="str">
        <f>HYPERLINK("https://www.ebi.ac.uk/ols/ontologies/fbbt/terms?iri=http://purl.obolibrary.org/obo/FBbt_00067062","FBbt:00067062")</f>
        <v>FBbt:00067062</v>
      </c>
      <c r="B256" t="s">
        <v>782</v>
      </c>
      <c r="C256" t="s">
        <v>783</v>
      </c>
      <c r="D256" t="s">
        <v>784</v>
      </c>
      <c r="E256" t="s">
        <v>785</v>
      </c>
    </row>
    <row r="257" spans="1:5" x14ac:dyDescent="0.2">
      <c r="A257" t="str">
        <f>HYPERLINK("https://www.ebi.ac.uk/ols/ontologies/fbbt/terms?iri=http://purl.obolibrary.org/obo/FBbt_00067061","FBbt:00067061")</f>
        <v>FBbt:00067061</v>
      </c>
      <c r="B257" t="s">
        <v>786</v>
      </c>
      <c r="C257" t="s">
        <v>787</v>
      </c>
      <c r="D257" t="s">
        <v>788</v>
      </c>
      <c r="E257" t="s">
        <v>789</v>
      </c>
    </row>
    <row r="258" spans="1:5" x14ac:dyDescent="0.2">
      <c r="A258" t="str">
        <f>HYPERLINK("https://www.ebi.ac.uk/ols/ontologies/fbbt/terms?iri=http://purl.obolibrary.org/obo/FBbt_00048232","FBbt:00048232")</f>
        <v>FBbt:00048232</v>
      </c>
      <c r="B258" t="s">
        <v>790</v>
      </c>
      <c r="C258" t="s">
        <v>8</v>
      </c>
      <c r="D258" t="s">
        <v>791</v>
      </c>
      <c r="E258" t="s">
        <v>777</v>
      </c>
    </row>
    <row r="259" spans="1:5" x14ac:dyDescent="0.2">
      <c r="A259" t="str">
        <f>HYPERLINK("https://www.ebi.ac.uk/ols/ontologies/fbbt/terms?iri=http://purl.obolibrary.org/obo/FBbt_00048233","FBbt:00048233")</f>
        <v>FBbt:00048233</v>
      </c>
      <c r="B259" t="s">
        <v>792</v>
      </c>
      <c r="C259" t="s">
        <v>8</v>
      </c>
      <c r="D259" t="s">
        <v>793</v>
      </c>
      <c r="E259" t="s">
        <v>777</v>
      </c>
    </row>
    <row r="260" spans="1:5" x14ac:dyDescent="0.2">
      <c r="A260" t="str">
        <f>HYPERLINK("https://www.ebi.ac.uk/ols/ontologies/fbbt/terms?iri=http://purl.obolibrary.org/obo/FBbt_00067013","FBbt:00067013")</f>
        <v>FBbt:00067013</v>
      </c>
      <c r="B260" t="s">
        <v>794</v>
      </c>
      <c r="C260" t="s">
        <v>795</v>
      </c>
      <c r="D260" t="s">
        <v>796</v>
      </c>
      <c r="E260" t="s">
        <v>797</v>
      </c>
    </row>
    <row r="261" spans="1:5" x14ac:dyDescent="0.2">
      <c r="A261" t="str">
        <f>HYPERLINK("https://www.ebi.ac.uk/ols/ontologies/fbbt/terms?iri=http://purl.obolibrary.org/obo/FBbt_00067011","FBbt:00067011")</f>
        <v>FBbt:00067011</v>
      </c>
      <c r="B261" t="s">
        <v>798</v>
      </c>
      <c r="C261" t="s">
        <v>799</v>
      </c>
      <c r="D261" t="s">
        <v>800</v>
      </c>
      <c r="E261" t="s">
        <v>801</v>
      </c>
    </row>
    <row r="262" spans="1:5" x14ac:dyDescent="0.2">
      <c r="A262" t="str">
        <f>HYPERLINK("https://www.ebi.ac.uk/ols/ontologies/fbbt/terms?iri=http://purl.obolibrary.org/obo/FBbt_00048078","FBbt:00048078")</f>
        <v>FBbt:00048078</v>
      </c>
      <c r="B262" t="s">
        <v>802</v>
      </c>
      <c r="C262" t="s">
        <v>8</v>
      </c>
      <c r="D262" t="s">
        <v>803</v>
      </c>
      <c r="E262" t="s">
        <v>11</v>
      </c>
    </row>
    <row r="263" spans="1:5" x14ac:dyDescent="0.2">
      <c r="A263" t="str">
        <f>HYPERLINK("https://www.ebi.ac.uk/ols/ontologies/fbbt/terms?iri=http://purl.obolibrary.org/obo/FBbt_00048077","FBbt:00048077")</f>
        <v>FBbt:00048077</v>
      </c>
      <c r="B263" t="s">
        <v>804</v>
      </c>
      <c r="C263" t="s">
        <v>8</v>
      </c>
      <c r="D263" t="s">
        <v>805</v>
      </c>
      <c r="E263" t="s">
        <v>11</v>
      </c>
    </row>
    <row r="264" spans="1:5" x14ac:dyDescent="0.2">
      <c r="A264" t="str">
        <f>HYPERLINK("https://www.ebi.ac.uk/ols/ontologies/fbbt/terms?iri=http://purl.obolibrary.org/obo/FBbt_00048075","FBbt:00048075")</f>
        <v>FBbt:00048075</v>
      </c>
      <c r="B264" t="s">
        <v>806</v>
      </c>
      <c r="C264" t="s">
        <v>8</v>
      </c>
      <c r="D264" t="s">
        <v>807</v>
      </c>
      <c r="E264" t="s">
        <v>11</v>
      </c>
    </row>
    <row r="265" spans="1:5" x14ac:dyDescent="0.2">
      <c r="A265" t="str">
        <f>HYPERLINK("https://www.ebi.ac.uk/ols/ontologies/fbbt/terms?iri=http://purl.obolibrary.org/obo/FBbt_00048076","FBbt:00048076")</f>
        <v>FBbt:00048076</v>
      </c>
      <c r="B265" t="s">
        <v>808</v>
      </c>
      <c r="C265" t="s">
        <v>8</v>
      </c>
      <c r="D265" t="s">
        <v>809</v>
      </c>
      <c r="E265" t="s">
        <v>11</v>
      </c>
    </row>
    <row r="266" spans="1:5" x14ac:dyDescent="0.2">
      <c r="A266" t="str">
        <f>HYPERLINK("https://www.ebi.ac.uk/ols/ontologies/fbbt/terms?iri=http://purl.obolibrary.org/obo/FBbt_00067009","FBbt:00067009")</f>
        <v>FBbt:00067009</v>
      </c>
      <c r="B266" t="s">
        <v>810</v>
      </c>
      <c r="C266" t="s">
        <v>811</v>
      </c>
      <c r="D266" t="s">
        <v>812</v>
      </c>
      <c r="E266" t="s">
        <v>813</v>
      </c>
    </row>
    <row r="267" spans="1:5" x14ac:dyDescent="0.2">
      <c r="A267" t="str">
        <f>HYPERLINK("https://www.ebi.ac.uk/ols/ontologies/fbbt/terms?iri=http://purl.obolibrary.org/obo/FBbt_00048074","FBbt:00048074")</f>
        <v>FBbt:00048074</v>
      </c>
      <c r="B267" t="s">
        <v>814</v>
      </c>
      <c r="C267" t="s">
        <v>8</v>
      </c>
      <c r="D267" t="s">
        <v>815</v>
      </c>
      <c r="E267" t="s">
        <v>11</v>
      </c>
    </row>
    <row r="268" spans="1:5" x14ac:dyDescent="0.2">
      <c r="A268" t="str">
        <f>HYPERLINK("https://www.ebi.ac.uk/ols/ontologies/fbbt/terms?iri=http://purl.obolibrary.org/obo/FBbt_00048073","FBbt:00048073")</f>
        <v>FBbt:00048073</v>
      </c>
      <c r="B268" t="s">
        <v>816</v>
      </c>
      <c r="C268" t="s">
        <v>8</v>
      </c>
      <c r="D268" t="s">
        <v>817</v>
      </c>
      <c r="E268" t="s">
        <v>11</v>
      </c>
    </row>
    <row r="269" spans="1:5" x14ac:dyDescent="0.2">
      <c r="A269" t="str">
        <f>HYPERLINK("https://www.ebi.ac.uk/ols/ontologies/fbbt/terms?iri=http://purl.obolibrary.org/obo/FBbt_00067007","FBbt:00067007")</f>
        <v>FBbt:00067007</v>
      </c>
      <c r="B269" t="s">
        <v>818</v>
      </c>
      <c r="C269" t="s">
        <v>819</v>
      </c>
      <c r="D269" t="s">
        <v>820</v>
      </c>
      <c r="E269" t="s">
        <v>821</v>
      </c>
    </row>
    <row r="270" spans="1:5" x14ac:dyDescent="0.2">
      <c r="A270" t="str">
        <f>HYPERLINK("https://www.ebi.ac.uk/ols/ontologies/fbbt/terms?iri=http://purl.obolibrary.org/obo/FBbt_00067005","FBbt:00067005")</f>
        <v>FBbt:00067005</v>
      </c>
      <c r="B270" t="s">
        <v>822</v>
      </c>
      <c r="C270" t="s">
        <v>823</v>
      </c>
      <c r="D270" t="s">
        <v>824</v>
      </c>
      <c r="E270" t="s">
        <v>825</v>
      </c>
    </row>
    <row r="271" spans="1:5" x14ac:dyDescent="0.2">
      <c r="A271" t="str">
        <f>HYPERLINK("https://www.ebi.ac.uk/ols/ontologies/fbbt/terms?iri=http://purl.obolibrary.org/obo/FBbt_00067003","FBbt:00067003")</f>
        <v>FBbt:00067003</v>
      </c>
      <c r="B271" t="s">
        <v>826</v>
      </c>
      <c r="C271" t="s">
        <v>827</v>
      </c>
      <c r="D271" t="s">
        <v>828</v>
      </c>
      <c r="E271" t="s">
        <v>829</v>
      </c>
    </row>
    <row r="272" spans="1:5" x14ac:dyDescent="0.2">
      <c r="A272" t="str">
        <f>HYPERLINK("https://www.ebi.ac.uk/ols/ontologies/fbbt/terms?iri=http://purl.obolibrary.org/obo/FBbt_00110672","FBbt:00110672")</f>
        <v>FBbt:00110672</v>
      </c>
      <c r="B272" t="s">
        <v>830</v>
      </c>
      <c r="C272" t="s">
        <v>831</v>
      </c>
      <c r="D272" t="s">
        <v>832</v>
      </c>
      <c r="E272" t="s">
        <v>771</v>
      </c>
    </row>
    <row r="273" spans="1:5" x14ac:dyDescent="0.2">
      <c r="A273" t="str">
        <f>HYPERLINK("https://www.ebi.ac.uk/ols/ontologies/fbbt/terms?iri=http://purl.obolibrary.org/obo/FBbt_00110671","FBbt:00110671")</f>
        <v>FBbt:00110671</v>
      </c>
      <c r="B273" t="s">
        <v>833</v>
      </c>
      <c r="C273" t="s">
        <v>831</v>
      </c>
      <c r="D273" t="s">
        <v>834</v>
      </c>
      <c r="E273" t="s">
        <v>771</v>
      </c>
    </row>
    <row r="274" spans="1:5" x14ac:dyDescent="0.2">
      <c r="A274" t="str">
        <f>HYPERLINK("https://www.ebi.ac.uk/ols/ontologies/fbbt/terms?iri=http://purl.obolibrary.org/obo/FBbt_00110673","FBbt:00110673")</f>
        <v>FBbt:00110673</v>
      </c>
      <c r="B274" t="s">
        <v>835</v>
      </c>
      <c r="C274" t="s">
        <v>831</v>
      </c>
      <c r="D274" t="s">
        <v>836</v>
      </c>
      <c r="E274" t="s">
        <v>771</v>
      </c>
    </row>
    <row r="275" spans="1:5" x14ac:dyDescent="0.2">
      <c r="A275" t="str">
        <f>HYPERLINK("https://www.ebi.ac.uk/ols/ontologies/fbbt/terms?iri=http://purl.obolibrary.org/obo/FBbt_00110670","FBbt:00110670")</f>
        <v>FBbt:00110670</v>
      </c>
      <c r="B275" t="s">
        <v>837</v>
      </c>
      <c r="C275" t="s">
        <v>769</v>
      </c>
      <c r="D275" t="s">
        <v>838</v>
      </c>
      <c r="E275" t="s">
        <v>771</v>
      </c>
    </row>
    <row r="276" spans="1:5" x14ac:dyDescent="0.2">
      <c r="A276" t="str">
        <f>HYPERLINK("https://www.ebi.ac.uk/ols/ontologies/fbbt/terms?iri=http://purl.obolibrary.org/obo/FBbt_00004449","FBbt:00004449")</f>
        <v>FBbt:00004449</v>
      </c>
      <c r="B276" t="s">
        <v>839</v>
      </c>
      <c r="C276" t="s">
        <v>8</v>
      </c>
      <c r="D276" t="s">
        <v>208</v>
      </c>
      <c r="E276" t="s">
        <v>209</v>
      </c>
    </row>
    <row r="277" spans="1:5" x14ac:dyDescent="0.2">
      <c r="A277" t="str">
        <f>HYPERLINK("https://www.ebi.ac.uk/ols/ontologies/fbbt/terms?iri=http://purl.obolibrary.org/obo/FBbt_00004025","FBbt:00004025")</f>
        <v>FBbt:00004025</v>
      </c>
      <c r="B277" t="s">
        <v>840</v>
      </c>
      <c r="C277" t="s">
        <v>384</v>
      </c>
      <c r="D277" t="s">
        <v>841</v>
      </c>
      <c r="E277" t="s">
        <v>539</v>
      </c>
    </row>
    <row r="278" spans="1:5" x14ac:dyDescent="0.2">
      <c r="A278" t="str">
        <f>HYPERLINK("https://www.ebi.ac.uk/ols/ontologies/fbbt/terms?iri=http://purl.obolibrary.org/obo/FBbt_00110007","FBbt:00110007")</f>
        <v>FBbt:00110007</v>
      </c>
      <c r="B278" t="s">
        <v>842</v>
      </c>
      <c r="C278" t="s">
        <v>843</v>
      </c>
      <c r="D278" t="s">
        <v>844</v>
      </c>
      <c r="E278" t="s">
        <v>845</v>
      </c>
    </row>
    <row r="279" spans="1:5" x14ac:dyDescent="0.2">
      <c r="A279" t="str">
        <f>HYPERLINK("https://www.ebi.ac.uk/ols/ontologies/fbbt/terms?iri=http://purl.obolibrary.org/obo/FBbt_00067001","FBbt:00067001")</f>
        <v>FBbt:00067001</v>
      </c>
      <c r="B279" t="s">
        <v>846</v>
      </c>
      <c r="C279" t="s">
        <v>847</v>
      </c>
      <c r="D279" t="s">
        <v>848</v>
      </c>
      <c r="E279" t="s">
        <v>849</v>
      </c>
    </row>
    <row r="280" spans="1:5" x14ac:dyDescent="0.2">
      <c r="A280" t="str">
        <f>HYPERLINK("https://www.ebi.ac.uk/ols/ontologies/fbbt/terms?iri=http://purl.obolibrary.org/obo/FBbt_00111212","FBbt:00111212")</f>
        <v>FBbt:00111212</v>
      </c>
      <c r="B280" t="s">
        <v>850</v>
      </c>
      <c r="C280" t="s">
        <v>851</v>
      </c>
      <c r="D280" t="s">
        <v>852</v>
      </c>
      <c r="E280" t="s">
        <v>853</v>
      </c>
    </row>
    <row r="281" spans="1:5" x14ac:dyDescent="0.2">
      <c r="A281" t="str">
        <f>HYPERLINK("https://www.ebi.ac.uk/ols/ontologies/fbbt/terms?iri=http://purl.obolibrary.org/obo/FBbt_00048225","FBbt:00048225")</f>
        <v>FBbt:00048225</v>
      </c>
      <c r="B281" t="s">
        <v>854</v>
      </c>
      <c r="C281" t="s">
        <v>8</v>
      </c>
      <c r="D281" t="s">
        <v>855</v>
      </c>
      <c r="E281" t="s">
        <v>304</v>
      </c>
    </row>
    <row r="282" spans="1:5" x14ac:dyDescent="0.2">
      <c r="A282" t="str">
        <f>HYPERLINK("https://www.ebi.ac.uk/ols/ontologies/fbbt/terms?iri=http://purl.obolibrary.org/obo/FBbt_00048224","FBbt:00048224")</f>
        <v>FBbt:00048224</v>
      </c>
      <c r="B282" t="s">
        <v>856</v>
      </c>
      <c r="C282" t="s">
        <v>8</v>
      </c>
      <c r="D282" t="s">
        <v>857</v>
      </c>
      <c r="E282" t="s">
        <v>304</v>
      </c>
    </row>
    <row r="283" spans="1:5" x14ac:dyDescent="0.2">
      <c r="A283" t="str">
        <f>HYPERLINK("https://www.ebi.ac.uk/ols/ontologies/fbbt/terms?iri=http://purl.obolibrary.org/obo/FBbt_00048223","FBbt:00048223")</f>
        <v>FBbt:00048223</v>
      </c>
      <c r="B283" t="s">
        <v>858</v>
      </c>
      <c r="C283" t="s">
        <v>8</v>
      </c>
      <c r="D283" t="s">
        <v>859</v>
      </c>
      <c r="E283" t="s">
        <v>304</v>
      </c>
    </row>
    <row r="284" spans="1:5" x14ac:dyDescent="0.2">
      <c r="A284" t="str">
        <f>HYPERLINK("https://www.ebi.ac.uk/ols/ontologies/fbbt/terms?iri=http://purl.obolibrary.org/obo/FBbt_00111210","FBbt:00111210")</f>
        <v>FBbt:00111210</v>
      </c>
      <c r="B284" t="s">
        <v>860</v>
      </c>
      <c r="C284" t="s">
        <v>861</v>
      </c>
      <c r="D284" t="s">
        <v>862</v>
      </c>
      <c r="E284" t="s">
        <v>863</v>
      </c>
    </row>
    <row r="285" spans="1:5" x14ac:dyDescent="0.2">
      <c r="A285" t="str">
        <f>HYPERLINK("https://www.ebi.ac.uk/ols/ontologies/fbbt/terms?iri=http://purl.obolibrary.org/obo/FBbt_00048222","FBbt:00048222")</f>
        <v>FBbt:00048222</v>
      </c>
      <c r="B285" t="s">
        <v>864</v>
      </c>
      <c r="C285" t="s">
        <v>8</v>
      </c>
      <c r="D285" t="s">
        <v>865</v>
      </c>
      <c r="E285" t="s">
        <v>304</v>
      </c>
    </row>
    <row r="286" spans="1:5" x14ac:dyDescent="0.2">
      <c r="A286" t="str">
        <f>HYPERLINK("https://www.ebi.ac.uk/ols/ontologies/fbbt/terms?iri=http://purl.obolibrary.org/obo/FBbt_00048159","FBbt:00048159")</f>
        <v>FBbt:00048159</v>
      </c>
      <c r="B286" t="s">
        <v>866</v>
      </c>
      <c r="C286" t="s">
        <v>8</v>
      </c>
      <c r="D286" t="s">
        <v>867</v>
      </c>
      <c r="E286" t="s">
        <v>777</v>
      </c>
    </row>
    <row r="287" spans="1:5" x14ac:dyDescent="0.2">
      <c r="A287" t="str">
        <f>HYPERLINK("https://www.ebi.ac.uk/ols/ontologies/fbbt/terms?iri=http://purl.obolibrary.org/obo/FBbt_00048158","FBbt:00048158")</f>
        <v>FBbt:00048158</v>
      </c>
      <c r="B287" t="s">
        <v>868</v>
      </c>
      <c r="C287" t="s">
        <v>8</v>
      </c>
      <c r="D287" t="s">
        <v>869</v>
      </c>
      <c r="E287" t="s">
        <v>777</v>
      </c>
    </row>
    <row r="288" spans="1:5" x14ac:dyDescent="0.2">
      <c r="A288" t="str">
        <f>HYPERLINK("https://www.ebi.ac.uk/ols/ontologies/fbbt/terms?iri=http://purl.obolibrary.org/obo/FBbt_00048154","FBbt:00048154")</f>
        <v>FBbt:00048154</v>
      </c>
      <c r="B288" t="s">
        <v>870</v>
      </c>
      <c r="C288" t="s">
        <v>8</v>
      </c>
      <c r="D288" t="s">
        <v>871</v>
      </c>
      <c r="E288" t="s">
        <v>777</v>
      </c>
    </row>
    <row r="289" spans="1:5" x14ac:dyDescent="0.2">
      <c r="A289" t="str">
        <f>HYPERLINK("https://www.ebi.ac.uk/ols/ontologies/fbbt/terms?iri=http://purl.obolibrary.org/obo/FBbt_00048153","FBbt:00048153")</f>
        <v>FBbt:00048153</v>
      </c>
      <c r="B289" t="s">
        <v>872</v>
      </c>
      <c r="C289" t="s">
        <v>873</v>
      </c>
      <c r="D289" t="s">
        <v>874</v>
      </c>
      <c r="E289" t="s">
        <v>777</v>
      </c>
    </row>
    <row r="290" spans="1:5" x14ac:dyDescent="0.2">
      <c r="A290" t="str">
        <f>HYPERLINK("https://www.ebi.ac.uk/ols/ontologies/fbbt/terms?iri=http://purl.obolibrary.org/obo/FBbt_00048214","FBbt:00048214")</f>
        <v>FBbt:00048214</v>
      </c>
      <c r="B290" t="s">
        <v>875</v>
      </c>
      <c r="C290" t="s">
        <v>876</v>
      </c>
      <c r="D290" t="s">
        <v>877</v>
      </c>
      <c r="E290" t="s">
        <v>632</v>
      </c>
    </row>
    <row r="291" spans="1:5" x14ac:dyDescent="0.2">
      <c r="A291" t="str">
        <f>HYPERLINK("https://www.ebi.ac.uk/ols/ontologies/fbbt/terms?iri=http://purl.obolibrary.org/obo/FBbt_00048213","FBbt:00048213")</f>
        <v>FBbt:00048213</v>
      </c>
      <c r="B291" t="s">
        <v>878</v>
      </c>
      <c r="C291" t="s">
        <v>8</v>
      </c>
      <c r="D291" t="s">
        <v>879</v>
      </c>
      <c r="E291" t="s">
        <v>304</v>
      </c>
    </row>
    <row r="292" spans="1:5" x14ac:dyDescent="0.2">
      <c r="A292" t="str">
        <f>HYPERLINK("https://www.ebi.ac.uk/ols/ontologies/fbbt/terms?iri=http://purl.obolibrary.org/obo/FBbt_00048212","FBbt:00048212")</f>
        <v>FBbt:00048212</v>
      </c>
      <c r="B292" t="s">
        <v>880</v>
      </c>
      <c r="C292" t="s">
        <v>8</v>
      </c>
      <c r="D292" t="s">
        <v>881</v>
      </c>
      <c r="E292" t="s">
        <v>304</v>
      </c>
    </row>
    <row r="293" spans="1:5" x14ac:dyDescent="0.2">
      <c r="A293" t="str">
        <f>HYPERLINK("https://www.ebi.ac.uk/ols/ontologies/fbbt/terms?iri=http://purl.obolibrary.org/obo/FBbt_00048211","FBbt:00048211")</f>
        <v>FBbt:00048211</v>
      </c>
      <c r="B293" t="s">
        <v>882</v>
      </c>
      <c r="C293" t="s">
        <v>8</v>
      </c>
      <c r="D293" t="s">
        <v>883</v>
      </c>
      <c r="E293" t="s">
        <v>304</v>
      </c>
    </row>
    <row r="294" spans="1:5" x14ac:dyDescent="0.2">
      <c r="A294" t="str">
        <f>HYPERLINK("https://www.ebi.ac.uk/ols/ontologies/fbbt/terms?iri=http://purl.obolibrary.org/obo/FBbt_00048323","FBbt:00048323")</f>
        <v>FBbt:00048323</v>
      </c>
      <c r="B294" t="s">
        <v>884</v>
      </c>
      <c r="C294" t="s">
        <v>885</v>
      </c>
      <c r="D294" t="s">
        <v>886</v>
      </c>
      <c r="E294" t="s">
        <v>887</v>
      </c>
    </row>
    <row r="295" spans="1:5" x14ac:dyDescent="0.2">
      <c r="A295" t="str">
        <f>HYPERLINK("https://www.ebi.ac.uk/ols/ontologies/fbbt/terms?iri=http://purl.obolibrary.org/obo/FBbt_00048324","FBbt:00048324")</f>
        <v>FBbt:00048324</v>
      </c>
      <c r="B295" t="s">
        <v>888</v>
      </c>
      <c r="C295" t="s">
        <v>889</v>
      </c>
      <c r="D295" t="s">
        <v>890</v>
      </c>
      <c r="E295" t="s">
        <v>887</v>
      </c>
    </row>
    <row r="296" spans="1:5" x14ac:dyDescent="0.2">
      <c r="A296" t="str">
        <f>HYPERLINK("https://www.ebi.ac.uk/ols/ontologies/fbbt/terms?iri=http://purl.obolibrary.org/obo/FBbt_00047925","FBbt:00047925")</f>
        <v>FBbt:00047925</v>
      </c>
      <c r="B296" t="s">
        <v>891</v>
      </c>
      <c r="C296" t="s">
        <v>892</v>
      </c>
      <c r="D296" t="s">
        <v>893</v>
      </c>
      <c r="E296" t="s">
        <v>434</v>
      </c>
    </row>
    <row r="297" spans="1:5" x14ac:dyDescent="0.2">
      <c r="A297" t="str">
        <f>HYPERLINK("https://www.ebi.ac.uk/ols/ontologies/fbbt/terms?iri=http://purl.obolibrary.org/obo/FBbt_00048143","FBbt:00048143")</f>
        <v>FBbt:00048143</v>
      </c>
      <c r="B297" t="s">
        <v>894</v>
      </c>
      <c r="C297" t="s">
        <v>895</v>
      </c>
      <c r="D297" t="s">
        <v>896</v>
      </c>
      <c r="E297" t="s">
        <v>720</v>
      </c>
    </row>
    <row r="298" spans="1:5" x14ac:dyDescent="0.2">
      <c r="A298" t="str">
        <f>HYPERLINK("https://www.ebi.ac.uk/ols/ontologies/fbbt/terms?iri=http://purl.obolibrary.org/obo/FBbt_02000006","FBbt:02000006")</f>
        <v>FBbt:02000006</v>
      </c>
      <c r="B298" t="s">
        <v>897</v>
      </c>
      <c r="C298" t="s">
        <v>898</v>
      </c>
      <c r="D298" t="s">
        <v>899</v>
      </c>
      <c r="E298" t="s">
        <v>900</v>
      </c>
    </row>
    <row r="299" spans="1:5" x14ac:dyDescent="0.2">
      <c r="A299" t="str">
        <f>HYPERLINK("https://www.ebi.ac.uk/ols/ontologies/fbbt/terms?iri=http://purl.obolibrary.org/obo/FBbt_02000005","FBbt:02000005")</f>
        <v>FBbt:02000005</v>
      </c>
      <c r="B299" t="s">
        <v>901</v>
      </c>
      <c r="C299" t="s">
        <v>902</v>
      </c>
      <c r="D299" t="s">
        <v>903</v>
      </c>
      <c r="E299" t="s">
        <v>904</v>
      </c>
    </row>
    <row r="300" spans="1:5" x14ac:dyDescent="0.2">
      <c r="A300" t="str">
        <f>HYPERLINK("https://www.ebi.ac.uk/ols/ontologies/fbbt/terms?iri=http://purl.obolibrary.org/obo/FBbt_02000004","FBbt:02000004")</f>
        <v>FBbt:02000004</v>
      </c>
      <c r="B300" t="s">
        <v>905</v>
      </c>
      <c r="C300" t="s">
        <v>906</v>
      </c>
      <c r="D300" t="s">
        <v>907</v>
      </c>
      <c r="E300" t="s">
        <v>900</v>
      </c>
    </row>
    <row r="301" spans="1:5" x14ac:dyDescent="0.2">
      <c r="A301" t="str">
        <f>HYPERLINK("https://www.ebi.ac.uk/ols/ontologies/fbbt/terms?iri=http://purl.obolibrary.org/obo/FBbt_02000003","FBbt:02000003")</f>
        <v>FBbt:02000003</v>
      </c>
      <c r="B301" t="s">
        <v>908</v>
      </c>
      <c r="C301" t="s">
        <v>909</v>
      </c>
      <c r="D301" t="s">
        <v>910</v>
      </c>
      <c r="E301" t="s">
        <v>900</v>
      </c>
    </row>
    <row r="302" spans="1:5" x14ac:dyDescent="0.2">
      <c r="A302" t="str">
        <f>HYPERLINK("https://www.ebi.ac.uk/ols/ontologies/fbbt/terms?iri=http://purl.obolibrary.org/obo/FBbt_00048036","FBbt:00048036")</f>
        <v>FBbt:00048036</v>
      </c>
      <c r="B302" t="s">
        <v>911</v>
      </c>
      <c r="C302" t="s">
        <v>8</v>
      </c>
      <c r="D302" t="s">
        <v>912</v>
      </c>
      <c r="E302" t="s">
        <v>913</v>
      </c>
    </row>
    <row r="303" spans="1:5" x14ac:dyDescent="0.2">
      <c r="A303" t="str">
        <f>HYPERLINK("https://www.ebi.ac.uk/ols/ontologies/fbbt/terms?iri=http://purl.obolibrary.org/obo/FBbt_00100003","FBbt:00100003")</f>
        <v>FBbt:00100003</v>
      </c>
      <c r="B303" t="s">
        <v>914</v>
      </c>
      <c r="C303" t="s">
        <v>915</v>
      </c>
      <c r="D303" t="s">
        <v>916</v>
      </c>
      <c r="E303" t="s">
        <v>397</v>
      </c>
    </row>
    <row r="304" spans="1:5" x14ac:dyDescent="0.2">
      <c r="A304" t="str">
        <f>HYPERLINK("https://www.ebi.ac.uk/ols/ontologies/fbbt/terms?iri=http://purl.obolibrary.org/obo/FBbt_00100004","FBbt:00100004")</f>
        <v>FBbt:00100004</v>
      </c>
      <c r="B304" t="s">
        <v>917</v>
      </c>
      <c r="C304" t="s">
        <v>918</v>
      </c>
      <c r="D304" t="s">
        <v>919</v>
      </c>
      <c r="E304" t="s">
        <v>920</v>
      </c>
    </row>
    <row r="305" spans="1:5" x14ac:dyDescent="0.2">
      <c r="A305" t="str">
        <f>HYPERLINK("https://www.ebi.ac.uk/ols/ontologies/fbbt/terms?iri=http://purl.obolibrary.org/obo/FBbt_00048038","FBbt:00048038")</f>
        <v>FBbt:00048038</v>
      </c>
      <c r="B305" t="s">
        <v>921</v>
      </c>
      <c r="C305" t="s">
        <v>922</v>
      </c>
      <c r="D305" t="s">
        <v>923</v>
      </c>
      <c r="E305" t="s">
        <v>913</v>
      </c>
    </row>
    <row r="306" spans="1:5" x14ac:dyDescent="0.2">
      <c r="A306" t="str">
        <f>HYPERLINK("https://www.ebi.ac.uk/ols/ontologies/fbbt/terms?iri=http://purl.obolibrary.org/obo/FBbt_00048037","FBbt:00048037")</f>
        <v>FBbt:00048037</v>
      </c>
      <c r="B306" t="s">
        <v>924</v>
      </c>
      <c r="C306" t="s">
        <v>925</v>
      </c>
      <c r="D306" t="s">
        <v>926</v>
      </c>
      <c r="E306" t="s">
        <v>927</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Clare Pilgrim</cp:lastModifiedBy>
  <dcterms:created xsi:type="dcterms:W3CDTF">2019-08-09T11:45:41Z</dcterms:created>
  <dcterms:modified xsi:type="dcterms:W3CDTF">2019-11-05T15:28:23Z</dcterms:modified>
</cp:coreProperties>
</file>