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externalLinks/externalLink1.xml" ContentType="application/vnd.openxmlformats-officedocument.spreadsheetml.externalLink+xml"/>
  <Override PartName="/xl/externalLinks/externalLink2.xml" ContentType="application/vnd.openxmlformats-officedocument.spreadsheetml.externalLink+xml"/>
  <Override PartName="/xl/externalLinks/externalLink3.xml" ContentType="application/vnd.openxmlformats-officedocument.spreadsheetml.externalLink+xml"/>
  <Override PartName="/xl/externalLinks/externalLink4.xml" ContentType="application/vnd.openxmlformats-officedocument.spreadsheetml.externalLink+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Records2.xml" ContentType="application/vnd.openxmlformats-officedocument.spreadsheetml.pivotCacheRecords+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tables/table1.xml" ContentType="application/vnd.openxmlformats-officedocument.spreadsheetml.table+xml"/>
  <Override PartName="/xl/comments1.xml" ContentType="application/vnd.openxmlformats-officedocument.spreadsheetml.comments+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0390"/>
  <workbookPr/>
  <mc:AlternateContent xmlns:mc="http://schemas.openxmlformats.org/markup-compatibility/2006">
    <mc:Choice Requires="x15">
      <x15ac:absPath xmlns:x15ac="http://schemas.microsoft.com/office/spreadsheetml/2010/11/ac" url="C:\Users\Anugerah P P Aji\Downloads\"/>
    </mc:Choice>
  </mc:AlternateContent>
  <xr:revisionPtr revIDLastSave="0" documentId="13_ncr:1_{69E43A43-1A93-4334-8731-CEB208D93123}" xr6:coauthVersionLast="36" xr6:coauthVersionMax="36" xr10:uidLastSave="{00000000-0000-0000-0000-000000000000}"/>
  <bookViews>
    <workbookView xWindow="0" yWindow="0" windowWidth="20490" windowHeight="7425" firstSheet="1" activeTab="6" xr2:uid="{00000000-000D-0000-FFFF-FFFF00000000}"/>
  </bookViews>
  <sheets>
    <sheet name="Pvt" sheetId="19" r:id="rId1"/>
    <sheet name="Progress" sheetId="18" r:id="rId2"/>
    <sheet name="Validasi TSEL" sheetId="20" r:id="rId3"/>
    <sheet name="Kandidat Tracker" sheetId="14" r:id="rId4"/>
    <sheet name="Validasi XL" sheetId="4" r:id="rId5"/>
    <sheet name="Validasi SF" sheetId="7" r:id="rId6"/>
    <sheet name="Eskalasi Ready" sheetId="10" r:id="rId7"/>
    <sheet name="Input" sheetId="11" r:id="rId8"/>
    <sheet name="CAPEX" sheetId="15" r:id="rId9"/>
    <sheet name="Pengajuan Approval to ARO" sheetId="13" r:id="rId10"/>
    <sheet name="Request Soil Test" sheetId="12" r:id="rId11"/>
    <sheet name="Cancle" sheetId="21" r:id="rId12"/>
  </sheets>
  <externalReferences>
    <externalReference r:id="rId13"/>
    <externalReference r:id="rId14"/>
    <externalReference r:id="rId15"/>
    <externalReference r:id="rId16"/>
  </externalReferences>
  <definedNames>
    <definedName name="_xlnm._FilterDatabase" localSheetId="11" hidden="1">Cancle!$A$1:$S$1</definedName>
    <definedName name="_xlnm._FilterDatabase" localSheetId="7" hidden="1">Input!$A$7:$AV$251</definedName>
    <definedName name="_xlnm._FilterDatabase" localSheetId="3" hidden="1">'Kandidat Tracker'!$A$1:$AK$127</definedName>
    <definedName name="_xlnm._FilterDatabase" localSheetId="9" hidden="1">'Pengajuan Approval to ARO'!$A$4:$O$127</definedName>
    <definedName name="_xlnm._FilterDatabase" localSheetId="1" hidden="1">Progress!$A$3:$AR$240</definedName>
    <definedName name="_xlnm._FilterDatabase" localSheetId="10" hidden="1">'Request Soil Test'!$A$1:$T$203</definedName>
    <definedName name="_xlnm._FilterDatabase" localSheetId="2" hidden="1">'Validasi TSEL'!$A$1:$L$222</definedName>
    <definedName name="_xlnm._FilterDatabase" localSheetId="4" hidden="1">'Validasi XL'!$A$1:$P$9</definedName>
    <definedName name="sonumb">'[1]Cover Eskalasi Khusus Untapped'!$D$1</definedName>
  </definedNames>
  <calcPr calcId="191029"/>
  <pivotCaches>
    <pivotCache cacheId="0" r:id="rId17"/>
    <pivotCache cacheId="1" r:id="rId18"/>
  </pivotCaches>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C27" i="10" l="1"/>
  <c r="X254" i="11"/>
  <c r="AJ254" i="11"/>
  <c r="AI254" i="11" s="1"/>
  <c r="D29" i="10" s="1"/>
  <c r="E29" i="10" s="1"/>
  <c r="AH253" i="11" l="1"/>
  <c r="AJ253" i="11" s="1"/>
  <c r="AI253" i="11" s="1"/>
  <c r="X253" i="11"/>
  <c r="V253" i="11"/>
  <c r="AH252" i="11" l="1"/>
  <c r="AJ252" i="11" s="1"/>
  <c r="AI252" i="11" s="1"/>
  <c r="X252" i="11"/>
  <c r="V252" i="11"/>
  <c r="V221" i="11"/>
  <c r="AJ251" i="11" l="1"/>
  <c r="AI251" i="11" s="1"/>
  <c r="X251" i="11"/>
  <c r="V251" i="11"/>
  <c r="AJ250" i="11"/>
  <c r="AI250" i="11" s="1"/>
  <c r="X250" i="11"/>
  <c r="V250" i="11"/>
  <c r="X249" i="11" l="1"/>
  <c r="V249" i="11"/>
  <c r="X248" i="11" l="1"/>
  <c r="AH248" i="11"/>
  <c r="AJ248" i="11" s="1"/>
  <c r="AI248" i="11" s="1"/>
  <c r="V248" i="11"/>
  <c r="L35" i="19" l="1"/>
  <c r="I35" i="19"/>
  <c r="H38" i="19" s="1"/>
  <c r="J38" i="19" s="1"/>
  <c r="J40" i="19" l="1"/>
  <c r="X247" i="11"/>
  <c r="AJ247" i="11"/>
  <c r="AI247" i="11" s="1"/>
  <c r="V247" i="11"/>
  <c r="G38" i="19"/>
  <c r="AJ246" i="11" l="1"/>
  <c r="AI246" i="11" s="1"/>
  <c r="X246" i="11"/>
  <c r="V246" i="11"/>
  <c r="AH245" i="11" l="1"/>
  <c r="AJ245" i="11" s="1"/>
  <c r="AI245" i="11" s="1"/>
  <c r="X245" i="11"/>
  <c r="V245" i="11"/>
  <c r="AJ244" i="11" l="1"/>
  <c r="AI244" i="11" s="1"/>
  <c r="X244" i="11"/>
  <c r="V244" i="11"/>
  <c r="AJ243" i="11" l="1"/>
  <c r="AI243" i="11" s="1"/>
  <c r="X243" i="11"/>
  <c r="V243" i="11"/>
  <c r="AJ242" i="11" l="1"/>
  <c r="AI242" i="11"/>
  <c r="X242" i="11"/>
  <c r="V242" i="11"/>
  <c r="AJ241" i="11" l="1"/>
  <c r="AI241" i="11" s="1"/>
  <c r="X241" i="11"/>
  <c r="V241" i="11"/>
  <c r="D75" i="10" l="1"/>
  <c r="E75" i="10" s="1"/>
  <c r="C75" i="10"/>
  <c r="D74" i="10"/>
  <c r="E74" i="10" s="1"/>
  <c r="D73" i="10"/>
  <c r="E73" i="10" s="1"/>
  <c r="D68" i="10"/>
  <c r="E68" i="10" s="1"/>
  <c r="D67" i="10"/>
  <c r="E67" i="10" s="1"/>
  <c r="C67" i="10"/>
  <c r="D65" i="10"/>
  <c r="E65" i="10" s="1"/>
  <c r="F64" i="10"/>
  <c r="D64" i="10"/>
  <c r="V238" i="11"/>
  <c r="AJ240" i="11" l="1"/>
  <c r="AI240" i="11" s="1"/>
  <c r="X240" i="11"/>
  <c r="AJ239" i="11"/>
  <c r="AI239" i="11" s="1"/>
  <c r="X239" i="11"/>
  <c r="V240" i="11"/>
  <c r="V239" i="11"/>
  <c r="AJ238" i="11"/>
  <c r="AI238" i="11" s="1"/>
  <c r="X238" i="11"/>
  <c r="AJ237" i="11" l="1"/>
  <c r="AI237" i="11" s="1"/>
  <c r="X237" i="11"/>
  <c r="V237" i="11"/>
  <c r="AH236" i="11"/>
  <c r="AJ236" i="11" s="1"/>
  <c r="AI236" i="11" s="1"/>
  <c r="X236" i="11"/>
  <c r="V236" i="11"/>
  <c r="AJ235" i="11"/>
  <c r="AI235" i="11" s="1"/>
  <c r="X235" i="11"/>
  <c r="V235" i="11"/>
  <c r="AH176" i="18" l="1"/>
  <c r="AG176" i="18"/>
  <c r="AH170" i="18"/>
  <c r="AG170" i="18"/>
  <c r="AH168" i="18"/>
  <c r="AG168" i="18"/>
  <c r="AH123" i="18"/>
  <c r="AG123" i="18"/>
  <c r="AH109" i="18"/>
  <c r="AG109" i="18"/>
  <c r="AH105" i="18"/>
  <c r="AG105" i="18"/>
  <c r="AH103" i="18"/>
  <c r="AG103" i="18"/>
  <c r="AH227" i="18"/>
  <c r="AH226" i="18"/>
  <c r="AH225" i="18"/>
  <c r="AH224" i="18"/>
  <c r="AH223" i="18"/>
  <c r="AH222" i="18"/>
  <c r="AH221" i="18"/>
  <c r="AH220" i="18"/>
  <c r="AH219" i="18"/>
  <c r="AH218" i="18"/>
  <c r="AH217" i="18"/>
  <c r="AH216" i="18"/>
  <c r="AH214" i="18"/>
  <c r="AH213" i="18"/>
  <c r="AH212" i="18"/>
  <c r="AH211" i="18"/>
  <c r="AH210" i="18"/>
  <c r="AH208" i="18"/>
  <c r="AH207" i="18"/>
  <c r="AH206" i="18"/>
  <c r="AH205" i="18"/>
  <c r="AH204" i="18"/>
  <c r="AH203" i="18"/>
  <c r="AH201" i="18"/>
  <c r="AH200" i="18"/>
  <c r="AH198" i="18"/>
  <c r="AH197" i="18"/>
  <c r="AH196" i="18"/>
  <c r="AH195" i="18"/>
  <c r="AH187" i="18"/>
  <c r="AH185" i="18"/>
  <c r="AH175" i="18"/>
  <c r="AH173" i="18"/>
  <c r="AH172" i="18"/>
  <c r="AH171" i="18"/>
  <c r="AH167" i="18"/>
  <c r="AH161" i="18"/>
  <c r="AH157" i="18"/>
  <c r="AH156" i="18"/>
  <c r="AH154" i="18"/>
  <c r="AH153" i="18"/>
  <c r="AH151" i="18"/>
  <c r="AH149" i="18"/>
  <c r="AH148" i="18"/>
  <c r="AH147" i="18"/>
  <c r="AH145" i="18"/>
  <c r="AH144" i="18"/>
  <c r="AH143" i="18"/>
  <c r="AH142" i="18"/>
  <c r="AH135" i="18"/>
  <c r="AH130" i="18"/>
  <c r="AH119" i="18"/>
  <c r="AH108" i="18"/>
  <c r="AH35" i="18"/>
  <c r="AG227" i="18"/>
  <c r="AG226" i="18"/>
  <c r="AG225" i="18"/>
  <c r="AG224" i="18"/>
  <c r="AG223" i="18"/>
  <c r="AG222" i="18"/>
  <c r="AG221" i="18"/>
  <c r="AG220" i="18"/>
  <c r="AG219" i="18"/>
  <c r="AG218" i="18"/>
  <c r="AG217" i="18"/>
  <c r="AG216" i="18"/>
  <c r="AG214" i="18"/>
  <c r="AG213" i="18"/>
  <c r="AG212" i="18"/>
  <c r="AG211" i="18"/>
  <c r="AG210" i="18"/>
  <c r="AG208" i="18"/>
  <c r="AG207" i="18"/>
  <c r="AG206" i="18"/>
  <c r="AG205" i="18"/>
  <c r="AG204" i="18"/>
  <c r="AG203" i="18"/>
  <c r="AG201" i="18"/>
  <c r="AG200" i="18"/>
  <c r="AG198" i="18"/>
  <c r="AG197" i="18"/>
  <c r="AG196" i="18"/>
  <c r="AG195" i="18"/>
  <c r="AG187" i="18"/>
  <c r="AG185" i="18"/>
  <c r="AG175" i="18"/>
  <c r="AG173" i="18"/>
  <c r="AG172" i="18"/>
  <c r="AG171" i="18"/>
  <c r="AG167" i="18"/>
  <c r="AG161" i="18"/>
  <c r="AG157" i="18"/>
  <c r="AG156" i="18"/>
  <c r="AG154" i="18"/>
  <c r="AG153" i="18"/>
  <c r="AG151" i="18"/>
  <c r="AG149" i="18"/>
  <c r="AG148" i="18"/>
  <c r="AG147" i="18"/>
  <c r="AG145" i="18"/>
  <c r="AG144" i="18"/>
  <c r="AG143" i="18"/>
  <c r="AG142" i="18"/>
  <c r="AG135" i="18"/>
  <c r="AG130" i="18"/>
  <c r="AG119" i="18"/>
  <c r="AG108" i="18"/>
  <c r="AG35" i="18"/>
  <c r="AF227" i="18"/>
  <c r="AF226" i="18"/>
  <c r="AF225" i="18"/>
  <c r="AF224" i="18"/>
  <c r="AF223" i="18"/>
  <c r="AF221" i="18"/>
  <c r="AF217" i="18"/>
  <c r="AF216" i="18"/>
  <c r="AF212" i="18"/>
  <c r="AF211" i="18"/>
  <c r="AF210" i="18"/>
  <c r="AF206" i="18"/>
  <c r="AF200" i="18"/>
  <c r="AF198" i="18"/>
  <c r="AF197" i="18"/>
  <c r="AF196" i="18"/>
  <c r="AF195" i="18"/>
  <c r="AF187" i="18"/>
  <c r="AF185" i="18"/>
  <c r="AF176" i="18"/>
  <c r="AF175" i="18"/>
  <c r="AF173" i="18"/>
  <c r="AF172" i="18"/>
  <c r="AF171" i="18"/>
  <c r="AF170" i="18"/>
  <c r="AF168" i="18"/>
  <c r="AF167" i="18"/>
  <c r="AF161" i="18"/>
  <c r="AF154" i="18"/>
  <c r="AF153" i="18"/>
  <c r="AF151" i="18"/>
  <c r="AF149" i="18"/>
  <c r="AF147" i="18"/>
  <c r="AF145" i="18"/>
  <c r="AF144" i="18"/>
  <c r="AF143" i="18"/>
  <c r="AF130" i="18"/>
  <c r="AF123" i="18"/>
  <c r="AF119" i="18"/>
  <c r="AF109" i="18"/>
  <c r="AF108" i="18"/>
  <c r="AF105" i="18"/>
  <c r="AF103" i="18"/>
  <c r="AF35" i="18"/>
  <c r="AJ234" i="11" l="1"/>
  <c r="AI234" i="11" s="1"/>
  <c r="X234" i="11"/>
  <c r="V234" i="11"/>
  <c r="J202" i="20" l="1"/>
  <c r="X233" i="11" l="1"/>
  <c r="AJ233" i="11"/>
  <c r="AI233" i="11" s="1"/>
  <c r="V233" i="11"/>
  <c r="AH232" i="11" l="1"/>
  <c r="AJ232" i="11" s="1"/>
  <c r="AI232" i="11" s="1"/>
  <c r="X232" i="11"/>
  <c r="V232" i="11"/>
  <c r="AJ169" i="18" l="1"/>
  <c r="AH231" i="11" l="1"/>
  <c r="AJ231" i="11" s="1"/>
  <c r="AI231" i="11" s="1"/>
  <c r="X231" i="11"/>
  <c r="V231" i="11"/>
  <c r="AH230" i="11"/>
  <c r="AJ230" i="11" s="1"/>
  <c r="AI230" i="11" s="1"/>
  <c r="X230" i="11"/>
  <c r="V230" i="11"/>
  <c r="X229" i="11" l="1"/>
  <c r="V229" i="11"/>
  <c r="AJ228" i="11" l="1"/>
  <c r="AI228" i="11" s="1"/>
  <c r="X228" i="11"/>
  <c r="V228" i="11"/>
  <c r="X227" i="11" l="1"/>
  <c r="V227" i="11"/>
  <c r="X226" i="11"/>
  <c r="V226" i="11"/>
  <c r="X224" i="11" l="1"/>
  <c r="AJ225" i="11" l="1"/>
  <c r="AI225" i="11" s="1"/>
  <c r="AJ224" i="11"/>
  <c r="AI224" i="11" s="1"/>
  <c r="X225" i="11"/>
  <c r="V225" i="11"/>
  <c r="V224" i="11"/>
  <c r="X223" i="11" l="1"/>
  <c r="V223" i="11"/>
  <c r="X222" i="11" l="1"/>
  <c r="AJ222" i="11"/>
  <c r="AI222" i="11" s="1"/>
  <c r="V222" i="11"/>
  <c r="AJ221" i="11" l="1"/>
  <c r="X221" i="11"/>
  <c r="E64" i="10" s="1"/>
  <c r="AI221" i="11" l="1"/>
  <c r="D69" i="10" s="1"/>
  <c r="E69" i="10" s="1"/>
  <c r="E71" i="10" s="1"/>
  <c r="E78" i="10" s="1"/>
  <c r="D70" i="10"/>
  <c r="E70" i="10" s="1"/>
  <c r="AJ220" i="11"/>
  <c r="AI220" i="11" s="1"/>
  <c r="AH218" i="11"/>
  <c r="AJ218" i="11" s="1"/>
  <c r="AI218" i="11" s="1"/>
  <c r="AJ219" i="11"/>
  <c r="AI219" i="11" s="1"/>
  <c r="AJ217" i="11"/>
  <c r="AI217" i="11" s="1"/>
  <c r="X219" i="11"/>
  <c r="X218" i="11"/>
  <c r="X220" i="11"/>
  <c r="X217" i="11"/>
  <c r="V220" i="11"/>
  <c r="V219" i="11"/>
  <c r="V218" i="11"/>
  <c r="V217" i="11"/>
  <c r="E77" i="10" l="1"/>
  <c r="AJ216" i="11"/>
  <c r="AI216" i="11" s="1"/>
  <c r="X216" i="11"/>
  <c r="V216" i="11"/>
  <c r="F24" i="10" l="1"/>
  <c r="AJ215" i="11" l="1"/>
  <c r="AI215" i="11" s="1"/>
  <c r="X215" i="11"/>
  <c r="V215" i="11"/>
  <c r="AJ214" i="11" l="1"/>
  <c r="AI214" i="11" s="1"/>
  <c r="X214" i="11"/>
  <c r="V214" i="11"/>
  <c r="AJ213" i="11"/>
  <c r="AI213" i="11" s="1"/>
  <c r="X213" i="11"/>
  <c r="V213" i="11" l="1"/>
  <c r="U182" i="18" l="1"/>
  <c r="U179" i="18"/>
  <c r="U170" i="18"/>
  <c r="U105" i="18"/>
  <c r="X212" i="11" l="1"/>
  <c r="AJ212" i="11"/>
  <c r="AI212" i="11" s="1"/>
  <c r="V212" i="11"/>
  <c r="X211" i="11" l="1"/>
  <c r="X210" i="11"/>
  <c r="AJ211" i="11"/>
  <c r="AI211" i="11" s="1"/>
  <c r="V211" i="11"/>
  <c r="AH210" i="11"/>
  <c r="AJ210" i="11" s="1"/>
  <c r="AI210" i="11" s="1"/>
  <c r="V210" i="11"/>
  <c r="AH209" i="11" l="1"/>
  <c r="AJ209" i="11" s="1"/>
  <c r="AI209" i="11" s="1"/>
  <c r="X209" i="11" l="1"/>
  <c r="V209" i="11"/>
  <c r="V208" i="11"/>
  <c r="AJ208" i="11" l="1"/>
  <c r="AI208" i="11" s="1"/>
  <c r="X208" i="11"/>
  <c r="AJ207" i="11" l="1"/>
  <c r="AI207" i="11" s="1"/>
  <c r="X207" i="11"/>
  <c r="V207" i="11"/>
  <c r="AJ206" i="11"/>
  <c r="AI206" i="11" s="1"/>
  <c r="X206" i="11"/>
  <c r="V206" i="11"/>
  <c r="AJ205" i="11" l="1"/>
  <c r="AI205" i="11" s="1"/>
  <c r="V205" i="11"/>
  <c r="AJ204" i="11" l="1"/>
  <c r="AI204" i="11" s="1"/>
  <c r="V204" i="11"/>
  <c r="AJ203" i="11" l="1"/>
  <c r="AI203" i="11" l="1"/>
  <c r="V203" i="11"/>
  <c r="AJ202" i="11"/>
  <c r="AI202" i="11" s="1"/>
  <c r="V202" i="11"/>
  <c r="X201" i="11" l="1"/>
  <c r="C35" i="10"/>
  <c r="AH201" i="11" l="1"/>
  <c r="AJ201" i="11" s="1"/>
  <c r="AI201" i="11" s="1"/>
  <c r="V201" i="11"/>
  <c r="AH200" i="11" l="1"/>
  <c r="AJ200" i="11" s="1"/>
  <c r="AI200" i="11" s="1"/>
  <c r="V200" i="11"/>
  <c r="AJ199" i="11" l="1"/>
  <c r="AI199" i="11" s="1"/>
  <c r="X199" i="11"/>
  <c r="V199" i="11"/>
  <c r="AJ198" i="11" l="1"/>
  <c r="AI198" i="11" s="1"/>
  <c r="X198" i="11"/>
  <c r="V198" i="11"/>
  <c r="AJ197" i="11"/>
  <c r="AI197" i="11" s="1"/>
  <c r="X197" i="11"/>
  <c r="V197" i="11"/>
  <c r="AJ196" i="11" l="1"/>
  <c r="AI196" i="11" s="1"/>
  <c r="X196" i="11"/>
  <c r="V196" i="11"/>
  <c r="G24" i="19" l="1"/>
  <c r="F24" i="19"/>
  <c r="D24" i="19"/>
  <c r="C24" i="19"/>
  <c r="B24" i="19"/>
  <c r="E23" i="19"/>
  <c r="E22" i="19"/>
  <c r="E21" i="19"/>
  <c r="AM147" i="18"/>
  <c r="AM167" i="18"/>
  <c r="AM166" i="18"/>
  <c r="AM165" i="18"/>
  <c r="AM149" i="18"/>
  <c r="E24" i="19" l="1"/>
  <c r="AM103" i="18"/>
  <c r="AM130" i="18"/>
  <c r="AM126" i="18"/>
  <c r="AM123" i="18"/>
  <c r="AM144" i="18"/>
  <c r="AM119" i="18"/>
  <c r="AM108" i="18"/>
  <c r="AM142" i="18"/>
  <c r="AM135" i="18"/>
  <c r="AM143" i="18"/>
  <c r="AM145" i="18"/>
  <c r="AM109" i="18"/>
  <c r="AM161" i="18"/>
  <c r="AM162" i="18"/>
  <c r="AM164" i="18"/>
  <c r="AM159" i="18"/>
  <c r="AM160" i="18"/>
  <c r="AM158" i="18"/>
  <c r="AM157" i="18"/>
  <c r="AM156" i="18"/>
  <c r="AM155" i="18"/>
  <c r="AM154" i="18"/>
  <c r="AM152" i="18"/>
  <c r="AM153" i="18"/>
  <c r="AM151" i="18"/>
  <c r="AM150" i="18"/>
  <c r="AM148" i="18"/>
  <c r="AL188" i="11" l="1"/>
  <c r="AL185" i="11"/>
  <c r="AL182" i="11"/>
  <c r="AL180" i="11"/>
  <c r="AL179" i="11"/>
  <c r="AL175" i="11"/>
  <c r="AL173" i="11"/>
  <c r="AL172" i="11"/>
  <c r="AL166" i="11"/>
  <c r="AL165" i="11"/>
  <c r="AL159" i="11"/>
  <c r="AL158" i="11"/>
  <c r="D35" i="10" l="1"/>
  <c r="D34" i="10"/>
  <c r="D33" i="10"/>
  <c r="D28" i="10"/>
  <c r="D27" i="10"/>
  <c r="D25" i="10"/>
  <c r="D24" i="10"/>
  <c r="X195" i="11" l="1"/>
  <c r="E24" i="10" s="1"/>
  <c r="AJ195" i="11"/>
  <c r="D30" i="10" s="1"/>
  <c r="V195" i="11"/>
  <c r="AI195" i="11" l="1"/>
  <c r="X194" i="11"/>
  <c r="AH194" i="11"/>
  <c r="AJ194" i="11" s="1"/>
  <c r="AI194" i="11" s="1"/>
  <c r="V194" i="11" l="1"/>
  <c r="X193" i="11" l="1"/>
  <c r="AH193" i="11"/>
  <c r="AJ193" i="11" s="1"/>
  <c r="AI193" i="11" s="1"/>
  <c r="V193" i="11"/>
  <c r="X192" i="11" l="1"/>
  <c r="V192" i="11"/>
  <c r="AJ191" i="11" l="1"/>
  <c r="AI191" i="11" s="1"/>
  <c r="X191" i="11"/>
  <c r="X176" i="11"/>
  <c r="AH190" i="11" l="1"/>
  <c r="AJ190" i="11" s="1"/>
  <c r="AI190" i="11" s="1"/>
  <c r="X190" i="11"/>
  <c r="V190" i="11"/>
  <c r="AJ189" i="11" l="1"/>
  <c r="X189" i="11"/>
  <c r="V189" i="11"/>
  <c r="AI189" i="11" l="1"/>
  <c r="AL189" i="11"/>
  <c r="AJ171" i="11"/>
  <c r="AL171" i="11" s="1"/>
  <c r="AI171" i="11" l="1"/>
  <c r="X171" i="11"/>
  <c r="X188" i="11" l="1"/>
  <c r="V188" i="11" l="1"/>
  <c r="X187" i="11" l="1"/>
  <c r="V187" i="11"/>
  <c r="AH186" i="11" l="1"/>
  <c r="X186" i="11"/>
  <c r="V186" i="11"/>
  <c r="AJ137" i="18" l="1"/>
  <c r="AL137" i="18" s="1"/>
  <c r="AJ139" i="18"/>
  <c r="AL139" i="18" s="1"/>
  <c r="AJ136" i="18"/>
  <c r="AL136" i="18" s="1"/>
  <c r="AJ133" i="18"/>
  <c r="AL133" i="18" s="1"/>
  <c r="AJ134" i="18"/>
  <c r="AL134" i="18" s="1"/>
  <c r="J35" i="18"/>
  <c r="AJ118" i="18"/>
  <c r="AL118" i="18" s="1"/>
  <c r="AJ140" i="18"/>
  <c r="AL140" i="18" s="1"/>
  <c r="AJ202" i="18"/>
  <c r="AJ141" i="18"/>
  <c r="AL141" i="18" s="1"/>
  <c r="AJ129" i="18"/>
  <c r="AL129" i="18" s="1"/>
  <c r="AJ128" i="18"/>
  <c r="AL128" i="18" s="1"/>
  <c r="AJ124" i="18"/>
  <c r="AL124" i="18" s="1"/>
  <c r="AJ125" i="18"/>
  <c r="AL125" i="18" s="1"/>
  <c r="AJ113" i="18"/>
  <c r="AL113" i="18" s="1"/>
  <c r="AJ116" i="18"/>
  <c r="AL116" i="18" s="1"/>
  <c r="AJ114" i="18"/>
  <c r="AL114" i="18" s="1"/>
  <c r="AJ132" i="18"/>
  <c r="AL132" i="18" s="1"/>
  <c r="AJ131" i="18"/>
  <c r="AL131" i="18" s="1"/>
  <c r="AJ111" i="18"/>
  <c r="AL111" i="18" s="1"/>
  <c r="AJ121" i="18"/>
  <c r="AL121" i="18" s="1"/>
  <c r="AJ112" i="18"/>
  <c r="AL112" i="18" s="1"/>
  <c r="J110" i="18"/>
  <c r="AJ107" i="18"/>
  <c r="J107" i="18"/>
  <c r="AJ104" i="18"/>
  <c r="AJ106" i="18"/>
  <c r="AL106" i="18" s="1"/>
  <c r="AJ101" i="18"/>
  <c r="J101" i="18"/>
  <c r="J105" i="18"/>
  <c r="AJ100" i="18"/>
  <c r="AL100" i="18" s="1"/>
  <c r="J102" i="18"/>
  <c r="AJ36" i="18"/>
  <c r="AJ98" i="18"/>
  <c r="AJ99" i="18"/>
  <c r="J97" i="18"/>
  <c r="J96" i="18"/>
  <c r="J95" i="18"/>
  <c r="J94" i="18"/>
  <c r="J93" i="18"/>
  <c r="J92" i="18"/>
  <c r="J91" i="18"/>
  <c r="J90" i="18"/>
  <c r="J89" i="18"/>
  <c r="J87" i="18"/>
  <c r="J86" i="18"/>
  <c r="J85" i="18"/>
  <c r="J84" i="18"/>
  <c r="J83" i="18"/>
  <c r="J82" i="18"/>
  <c r="J81" i="18"/>
  <c r="J80" i="18"/>
  <c r="J79" i="18"/>
  <c r="J78" i="18"/>
  <c r="J77" i="18"/>
  <c r="J76" i="18"/>
  <c r="J75" i="18"/>
  <c r="J74" i="18"/>
  <c r="J73" i="18"/>
  <c r="J72" i="18"/>
  <c r="J71" i="18"/>
  <c r="J70" i="18"/>
  <c r="J69" i="18"/>
  <c r="J68" i="18"/>
  <c r="J67" i="18"/>
  <c r="J66" i="18"/>
  <c r="J65" i="18"/>
  <c r="J64" i="18"/>
  <c r="J62" i="18"/>
  <c r="J61" i="18"/>
  <c r="J60" i="18"/>
  <c r="J59" i="18"/>
  <c r="J58" i="18"/>
  <c r="J57" i="18"/>
  <c r="J56" i="18"/>
  <c r="J55" i="18"/>
  <c r="J54" i="18"/>
  <c r="J53" i="18"/>
  <c r="J52" i="18"/>
  <c r="J51" i="18"/>
  <c r="J50" i="18"/>
  <c r="J49" i="18"/>
  <c r="J48" i="18"/>
  <c r="J47" i="18"/>
  <c r="J46" i="18"/>
  <c r="J44" i="18"/>
  <c r="J43" i="18"/>
  <c r="J42" i="18"/>
  <c r="J41" i="18"/>
  <c r="J40" i="18"/>
  <c r="J39" i="18"/>
  <c r="J38" i="18"/>
  <c r="J37" i="18"/>
  <c r="AJ10" i="18"/>
  <c r="AJ28" i="18"/>
  <c r="AJ34" i="18"/>
  <c r="AL34" i="18" s="1"/>
  <c r="AJ29" i="18"/>
  <c r="AL29" i="18" s="1"/>
  <c r="AJ25" i="18"/>
  <c r="AJ27" i="18"/>
  <c r="AL27" i="18" s="1"/>
  <c r="J23" i="18"/>
  <c r="J22" i="18"/>
  <c r="J21" i="18"/>
  <c r="J20" i="18"/>
  <c r="J19" i="18"/>
  <c r="J18" i="18"/>
  <c r="J17" i="18"/>
  <c r="J16" i="18"/>
  <c r="J15" i="18"/>
  <c r="J14" i="18"/>
  <c r="J13" i="18"/>
  <c r="J12" i="18"/>
  <c r="AJ9" i="18"/>
  <c r="AJ122" i="18"/>
  <c r="AL122" i="18" s="1"/>
  <c r="J8" i="18"/>
  <c r="J7" i="18"/>
  <c r="J6" i="18"/>
  <c r="J5" i="18"/>
  <c r="J4" i="18"/>
  <c r="AJ2" i="18"/>
  <c r="AJ239" i="18" l="1"/>
  <c r="AJ240" i="18"/>
  <c r="AJ237" i="18"/>
  <c r="AJ238" i="18"/>
  <c r="AJ235" i="18"/>
  <c r="AJ236" i="18"/>
  <c r="AJ214" i="18"/>
  <c r="AJ211" i="18"/>
  <c r="AJ234" i="18"/>
  <c r="AJ204" i="18"/>
  <c r="AJ205" i="18"/>
  <c r="AJ232" i="18"/>
  <c r="AJ233" i="18"/>
  <c r="AJ230" i="18"/>
  <c r="AL230" i="18" s="1"/>
  <c r="AJ231" i="18"/>
  <c r="AJ228" i="18"/>
  <c r="AJ229" i="18"/>
  <c r="AL229" i="18" s="1"/>
  <c r="AJ226" i="18"/>
  <c r="AJ227" i="18"/>
  <c r="AJ224" i="18"/>
  <c r="AJ225" i="18"/>
  <c r="AJ222" i="18"/>
  <c r="AJ223" i="18"/>
  <c r="AJ221" i="18"/>
  <c r="AL221" i="18" s="1"/>
  <c r="AJ197" i="18"/>
  <c r="AL197" i="18" s="1"/>
  <c r="AJ196" i="18"/>
  <c r="AL196" i="18" s="1"/>
  <c r="AJ198" i="18"/>
  <c r="AJ203" i="18"/>
  <c r="AJ199" i="18"/>
  <c r="AL199" i="18" s="1"/>
  <c r="AJ212" i="18"/>
  <c r="AL212" i="18" s="1"/>
  <c r="AJ201" i="18"/>
  <c r="AJ219" i="18"/>
  <c r="AJ220" i="18"/>
  <c r="AJ200" i="18"/>
  <c r="AL200" i="18" s="1"/>
  <c r="AJ216" i="18"/>
  <c r="AJ213" i="18"/>
  <c r="AJ206" i="18"/>
  <c r="AL206" i="18" s="1"/>
  <c r="AJ215" i="18"/>
  <c r="AL215" i="18" s="1"/>
  <c r="AJ209" i="18"/>
  <c r="AL209" i="18" s="1"/>
  <c r="AJ210" i="18"/>
  <c r="AL210" i="18" s="1"/>
  <c r="AJ207" i="18"/>
  <c r="AJ208" i="18"/>
  <c r="AJ217" i="18"/>
  <c r="AL217" i="18" s="1"/>
  <c r="AJ218" i="18"/>
  <c r="AJ195" i="18"/>
  <c r="AJ190" i="18"/>
  <c r="AJ194" i="18"/>
  <c r="AL194" i="18" s="1"/>
  <c r="AJ179" i="18"/>
  <c r="AL179" i="18" s="1"/>
  <c r="AJ192" i="18"/>
  <c r="AL192" i="18" s="1"/>
  <c r="AJ171" i="18"/>
  <c r="AJ173" i="18"/>
  <c r="AJ193" i="18"/>
  <c r="AL193" i="18" s="1"/>
  <c r="AJ187" i="18"/>
  <c r="AL187" i="18" s="1"/>
  <c r="AJ181" i="18"/>
  <c r="AL181" i="18" s="1"/>
  <c r="AJ186" i="18"/>
  <c r="AL186" i="18" s="1"/>
  <c r="AJ188" i="18"/>
  <c r="AL188" i="18" s="1"/>
  <c r="AJ180" i="18"/>
  <c r="AL180" i="18" s="1"/>
  <c r="AJ176" i="18"/>
  <c r="AJ177" i="18"/>
  <c r="AL177" i="18" s="1"/>
  <c r="AJ183" i="18"/>
  <c r="AL183" i="18" s="1"/>
  <c r="AJ178" i="18"/>
  <c r="AL178" i="18" s="1"/>
  <c r="AJ189" i="18"/>
  <c r="AJ172" i="18"/>
  <c r="AJ182" i="18"/>
  <c r="AL182" i="18" s="1"/>
  <c r="AJ191" i="18"/>
  <c r="AL191" i="18" s="1"/>
  <c r="AJ174" i="18"/>
  <c r="AL174" i="18" s="1"/>
  <c r="AJ185" i="18"/>
  <c r="AL185" i="18" s="1"/>
  <c r="AJ184" i="18"/>
  <c r="AL184" i="18" s="1"/>
  <c r="AJ175" i="18"/>
  <c r="AL175" i="18" s="1"/>
  <c r="AJ170" i="18"/>
  <c r="AJ147" i="18"/>
  <c r="AJ168" i="18"/>
  <c r="AJ166" i="18"/>
  <c r="AJ167" i="18"/>
  <c r="AJ149" i="18"/>
  <c r="AJ165" i="18"/>
  <c r="AJ161" i="18"/>
  <c r="AJ148" i="18"/>
  <c r="AJ164" i="18"/>
  <c r="AL164" i="18" s="1"/>
  <c r="AJ162" i="18"/>
  <c r="AL162" i="18" s="1"/>
  <c r="AJ130" i="18"/>
  <c r="AL130" i="18" s="1"/>
  <c r="AJ163" i="18"/>
  <c r="AL163" i="18" s="1"/>
  <c r="AJ146" i="18"/>
  <c r="AL146" i="18" s="1"/>
  <c r="AJ151" i="18"/>
  <c r="AJ155" i="18"/>
  <c r="AL155" i="18" s="1"/>
  <c r="AJ160" i="18"/>
  <c r="AL160" i="18" s="1"/>
  <c r="AJ150" i="18"/>
  <c r="AL150" i="18" s="1"/>
  <c r="AJ153" i="18"/>
  <c r="AJ156" i="18"/>
  <c r="AJ159" i="18"/>
  <c r="AL159" i="18" s="1"/>
  <c r="AJ158" i="18"/>
  <c r="AL158" i="18" s="1"/>
  <c r="AJ152" i="18"/>
  <c r="AJ157" i="18"/>
  <c r="AJ154" i="18"/>
  <c r="AJ84" i="18"/>
  <c r="AJ14" i="18"/>
  <c r="AJ52" i="18"/>
  <c r="AJ22" i="18"/>
  <c r="AJ60" i="18"/>
  <c r="AJ68" i="18"/>
  <c r="AJ91" i="18"/>
  <c r="AJ5" i="18"/>
  <c r="AJ33" i="18"/>
  <c r="AJ37" i="18"/>
  <c r="AJ76" i="18"/>
  <c r="AJ11" i="18"/>
  <c r="AJ19" i="18"/>
  <c r="AJ31" i="18"/>
  <c r="AJ42" i="18"/>
  <c r="AJ49" i="18"/>
  <c r="AJ57" i="18"/>
  <c r="AJ67" i="18"/>
  <c r="AJ75" i="18"/>
  <c r="AJ83" i="18"/>
  <c r="AJ90" i="18"/>
  <c r="AJ145" i="18"/>
  <c r="AL145" i="18" s="1"/>
  <c r="AJ18" i="18"/>
  <c r="AJ108" i="18"/>
  <c r="AJ41" i="18"/>
  <c r="AJ48" i="18"/>
  <c r="AJ56" i="18"/>
  <c r="AJ64" i="18"/>
  <c r="AJ72" i="18"/>
  <c r="AJ80" i="18"/>
  <c r="AJ95" i="18"/>
  <c r="AJ6" i="18"/>
  <c r="AJ15" i="18"/>
  <c r="AJ23" i="18"/>
  <c r="AJ38" i="18"/>
  <c r="AJ45" i="18"/>
  <c r="AJ53" i="18"/>
  <c r="AJ61" i="18"/>
  <c r="AJ63" i="18"/>
  <c r="AJ71" i="18"/>
  <c r="AJ79" i="18"/>
  <c r="AJ87" i="18"/>
  <c r="AJ94" i="18"/>
  <c r="AJ103" i="18"/>
  <c r="AJ117" i="18"/>
  <c r="AL117" i="18" s="1"/>
  <c r="AJ105" i="18"/>
  <c r="AJ144" i="18"/>
  <c r="AJ119" i="18"/>
  <c r="AJ142" i="18"/>
  <c r="AJ4" i="18"/>
  <c r="AJ8" i="18"/>
  <c r="AJ13" i="18"/>
  <c r="AJ17" i="18"/>
  <c r="AJ21" i="18"/>
  <c r="AJ24" i="18"/>
  <c r="AJ26" i="18"/>
  <c r="AJ40" i="18"/>
  <c r="AJ44" i="18"/>
  <c r="AJ47" i="18"/>
  <c r="AJ51" i="18"/>
  <c r="AJ55" i="18"/>
  <c r="AJ59" i="18"/>
  <c r="AJ66" i="18"/>
  <c r="AJ70" i="18"/>
  <c r="AJ74" i="18"/>
  <c r="AJ78" i="18"/>
  <c r="AJ82" i="18"/>
  <c r="AJ86" i="18"/>
  <c r="AJ89" i="18"/>
  <c r="AJ93" i="18"/>
  <c r="AJ97" i="18"/>
  <c r="AJ102" i="18"/>
  <c r="AJ138" i="18"/>
  <c r="AL138" i="18" s="1"/>
  <c r="AJ109" i="18"/>
  <c r="AJ115" i="18"/>
  <c r="AL115" i="18" s="1"/>
  <c r="AJ127" i="18"/>
  <c r="AL127" i="18" s="1"/>
  <c r="AJ35" i="18"/>
  <c r="AJ135" i="18"/>
  <c r="AJ143" i="18"/>
  <c r="AJ7" i="18"/>
  <c r="AJ12" i="18"/>
  <c r="AJ16" i="18"/>
  <c r="AJ20" i="18"/>
  <c r="AJ30" i="18"/>
  <c r="AJ32" i="18"/>
  <c r="AJ39" i="18"/>
  <c r="AJ43" i="18"/>
  <c r="AJ46" i="18"/>
  <c r="AJ50" i="18"/>
  <c r="AJ54" i="18"/>
  <c r="AJ58" i="18"/>
  <c r="AJ62" i="18"/>
  <c r="AJ65" i="18"/>
  <c r="AJ69" i="18"/>
  <c r="AJ73" i="18"/>
  <c r="AJ77" i="18"/>
  <c r="AJ81" i="18"/>
  <c r="AJ85" i="18"/>
  <c r="AJ88" i="18"/>
  <c r="AJ92" i="18"/>
  <c r="AJ96" i="18"/>
  <c r="AJ110" i="18"/>
  <c r="AJ123" i="18"/>
  <c r="AJ126" i="18"/>
  <c r="AL126" i="18" s="1"/>
  <c r="AJ120" i="18"/>
  <c r="AL120" i="18" s="1"/>
  <c r="X185" i="11"/>
  <c r="AI185" i="11"/>
  <c r="V185" i="11"/>
  <c r="AH184" i="11" l="1"/>
  <c r="AL184" i="11" s="1"/>
  <c r="X184" i="11"/>
  <c r="V184" i="11"/>
  <c r="Q124" i="12" l="1"/>
  <c r="H124" i="12"/>
  <c r="G124" i="12"/>
  <c r="F124" i="12"/>
  <c r="E124" i="12"/>
  <c r="D124" i="12"/>
  <c r="C124" i="12"/>
  <c r="B124" i="12"/>
  <c r="Q123" i="12"/>
  <c r="H123" i="12"/>
  <c r="G123" i="12"/>
  <c r="F123" i="12"/>
  <c r="E123" i="12"/>
  <c r="D123" i="12"/>
  <c r="C123" i="12"/>
  <c r="B123" i="12"/>
  <c r="Q122" i="12"/>
  <c r="H122" i="12"/>
  <c r="G122" i="12"/>
  <c r="F122" i="12"/>
  <c r="E122" i="12"/>
  <c r="D122" i="12"/>
  <c r="C122" i="12"/>
  <c r="B122" i="12"/>
  <c r="Q121" i="12"/>
  <c r="H121" i="12"/>
  <c r="G121" i="12"/>
  <c r="F121" i="12"/>
  <c r="E121" i="12"/>
  <c r="D121" i="12"/>
  <c r="C121" i="12"/>
  <c r="B121" i="12"/>
  <c r="Q120" i="12"/>
  <c r="H120" i="12"/>
  <c r="G120" i="12"/>
  <c r="F120" i="12"/>
  <c r="E120" i="12"/>
  <c r="D120" i="12"/>
  <c r="C120" i="12"/>
  <c r="B120" i="12"/>
  <c r="Q119" i="12"/>
  <c r="H119" i="12"/>
  <c r="G119" i="12"/>
  <c r="F119" i="12"/>
  <c r="E119" i="12"/>
  <c r="D119" i="12"/>
  <c r="C119" i="12"/>
  <c r="B119" i="12"/>
  <c r="Q118" i="12"/>
  <c r="H118" i="12"/>
  <c r="G118" i="12"/>
  <c r="F118" i="12"/>
  <c r="E118" i="12"/>
  <c r="D118" i="12"/>
  <c r="C118" i="12"/>
  <c r="B118" i="12"/>
  <c r="Q117" i="12"/>
  <c r="H117" i="12"/>
  <c r="G117" i="12"/>
  <c r="F117" i="12"/>
  <c r="E117" i="12"/>
  <c r="D117" i="12"/>
  <c r="C117" i="12"/>
  <c r="B117" i="12"/>
  <c r="Q116" i="12"/>
  <c r="H116" i="12"/>
  <c r="G116" i="12"/>
  <c r="F116" i="12"/>
  <c r="E116" i="12"/>
  <c r="D116" i="12"/>
  <c r="C116" i="12"/>
  <c r="B116" i="12"/>
  <c r="Q115" i="12"/>
  <c r="H115" i="12"/>
  <c r="G115" i="12"/>
  <c r="F115" i="12"/>
  <c r="E115" i="12"/>
  <c r="D115" i="12"/>
  <c r="C115" i="12"/>
  <c r="B115" i="12"/>
  <c r="Q114" i="12"/>
  <c r="H114" i="12"/>
  <c r="G114" i="12"/>
  <c r="F114" i="12"/>
  <c r="E114" i="12"/>
  <c r="D114" i="12"/>
  <c r="C114" i="12"/>
  <c r="B114" i="12"/>
  <c r="Q112" i="12"/>
  <c r="H112" i="12"/>
  <c r="G112" i="12"/>
  <c r="F112" i="12"/>
  <c r="E112" i="12"/>
  <c r="D112" i="12"/>
  <c r="C112" i="12"/>
  <c r="B112" i="12"/>
  <c r="Q111" i="12"/>
  <c r="H111" i="12"/>
  <c r="G111" i="12"/>
  <c r="F111" i="12"/>
  <c r="E111" i="12"/>
  <c r="D111" i="12"/>
  <c r="C111" i="12"/>
  <c r="B111" i="12"/>
  <c r="Q110" i="12"/>
  <c r="H110" i="12"/>
  <c r="G110" i="12"/>
  <c r="F110" i="12"/>
  <c r="E110" i="12"/>
  <c r="D110" i="12"/>
  <c r="C110" i="12"/>
  <c r="B110" i="12"/>
  <c r="Q109" i="12"/>
  <c r="H109" i="12"/>
  <c r="G109" i="12"/>
  <c r="F109" i="12"/>
  <c r="E109" i="12"/>
  <c r="D109" i="12"/>
  <c r="C109" i="12"/>
  <c r="B109" i="12"/>
  <c r="Q108" i="12"/>
  <c r="H108" i="12"/>
  <c r="G108" i="12"/>
  <c r="F108" i="12"/>
  <c r="E108" i="12"/>
  <c r="D108" i="12"/>
  <c r="C108" i="12"/>
  <c r="B108" i="12"/>
  <c r="Q107" i="12"/>
  <c r="H107" i="12"/>
  <c r="G107" i="12"/>
  <c r="F107" i="12"/>
  <c r="E107" i="12"/>
  <c r="D107" i="12"/>
  <c r="C107" i="12"/>
  <c r="B107" i="12"/>
  <c r="Q106" i="12"/>
  <c r="H106" i="12"/>
  <c r="G106" i="12"/>
  <c r="F106" i="12"/>
  <c r="E106" i="12"/>
  <c r="D106" i="12"/>
  <c r="C106" i="12"/>
  <c r="B106" i="12"/>
  <c r="Q105" i="12"/>
  <c r="H105" i="12"/>
  <c r="G105" i="12"/>
  <c r="F105" i="12"/>
  <c r="E105" i="12"/>
  <c r="D105" i="12"/>
  <c r="C105" i="12"/>
  <c r="B105" i="12"/>
  <c r="Q104" i="12"/>
  <c r="H104" i="12"/>
  <c r="G104" i="12"/>
  <c r="F104" i="12"/>
  <c r="E104" i="12"/>
  <c r="D104" i="12"/>
  <c r="C104" i="12"/>
  <c r="B104" i="12"/>
  <c r="Q103" i="12"/>
  <c r="H103" i="12"/>
  <c r="G103" i="12"/>
  <c r="F103" i="12"/>
  <c r="E103" i="12"/>
  <c r="D103" i="12"/>
  <c r="C103" i="12"/>
  <c r="B103" i="12"/>
  <c r="Q102" i="12"/>
  <c r="H102" i="12"/>
  <c r="G102" i="12"/>
  <c r="F102" i="12"/>
  <c r="E102" i="12"/>
  <c r="D102" i="12"/>
  <c r="C102" i="12"/>
  <c r="B102" i="12"/>
  <c r="Q101" i="12"/>
  <c r="H101" i="12"/>
  <c r="G101" i="12"/>
  <c r="F101" i="12"/>
  <c r="E101" i="12"/>
  <c r="D101" i="12"/>
  <c r="C101" i="12"/>
  <c r="B101" i="12"/>
  <c r="Q100" i="12"/>
  <c r="H100" i="12"/>
  <c r="G100" i="12"/>
  <c r="F100" i="12"/>
  <c r="E100" i="12"/>
  <c r="D100" i="12"/>
  <c r="C100" i="12"/>
  <c r="B100" i="12"/>
  <c r="Q99" i="12"/>
  <c r="H99" i="12"/>
  <c r="G99" i="12"/>
  <c r="F99" i="12"/>
  <c r="E99" i="12"/>
  <c r="D99" i="12"/>
  <c r="C99" i="12"/>
  <c r="B99" i="12"/>
  <c r="Q98" i="12"/>
  <c r="H98" i="12"/>
  <c r="G98" i="12"/>
  <c r="F98" i="12"/>
  <c r="E98" i="12"/>
  <c r="D98" i="12"/>
  <c r="C98" i="12"/>
  <c r="B98" i="12"/>
  <c r="Q97" i="12"/>
  <c r="H97" i="12"/>
  <c r="G97" i="12"/>
  <c r="F97" i="12"/>
  <c r="E97" i="12"/>
  <c r="D97" i="12"/>
  <c r="C97" i="12"/>
  <c r="B97" i="12"/>
  <c r="Q96" i="12"/>
  <c r="H96" i="12"/>
  <c r="G96" i="12"/>
  <c r="F96" i="12"/>
  <c r="E96" i="12"/>
  <c r="D96" i="12"/>
  <c r="C96" i="12"/>
  <c r="B96" i="12"/>
  <c r="Q95" i="12"/>
  <c r="H95" i="12"/>
  <c r="G95" i="12"/>
  <c r="F95" i="12"/>
  <c r="E95" i="12"/>
  <c r="D95" i="12"/>
  <c r="C95" i="12"/>
  <c r="B95" i="12"/>
  <c r="Q94" i="12"/>
  <c r="H94" i="12"/>
  <c r="G94" i="12"/>
  <c r="F94" i="12"/>
  <c r="E94" i="12"/>
  <c r="D94" i="12"/>
  <c r="C94" i="12"/>
  <c r="B94" i="12"/>
  <c r="Q93" i="12"/>
  <c r="H93" i="12"/>
  <c r="G93" i="12"/>
  <c r="F93" i="12"/>
  <c r="E93" i="12"/>
  <c r="D93" i="12"/>
  <c r="C93" i="12"/>
  <c r="B93" i="12"/>
  <c r="Q92" i="12"/>
  <c r="H92" i="12"/>
  <c r="G92" i="12"/>
  <c r="F92" i="12"/>
  <c r="E92" i="12"/>
  <c r="D92" i="12"/>
  <c r="C92" i="12"/>
  <c r="B92" i="12"/>
  <c r="Q91" i="12"/>
  <c r="H91" i="12"/>
  <c r="G91" i="12"/>
  <c r="F91" i="12"/>
  <c r="E91" i="12"/>
  <c r="D91" i="12"/>
  <c r="C91" i="12"/>
  <c r="B91" i="12"/>
  <c r="Q90" i="12"/>
  <c r="H90" i="12"/>
  <c r="G90" i="12"/>
  <c r="F90" i="12"/>
  <c r="E90" i="12"/>
  <c r="D90" i="12"/>
  <c r="C90" i="12"/>
  <c r="B90" i="12"/>
  <c r="Q89" i="12"/>
  <c r="H89" i="12"/>
  <c r="G89" i="12"/>
  <c r="F89" i="12"/>
  <c r="E89" i="12"/>
  <c r="D89" i="12"/>
  <c r="C89" i="12"/>
  <c r="B89" i="12"/>
  <c r="Q88" i="12"/>
  <c r="H88" i="12"/>
  <c r="G88" i="12"/>
  <c r="F88" i="12"/>
  <c r="E88" i="12"/>
  <c r="D88" i="12"/>
  <c r="C88" i="12"/>
  <c r="B88" i="12"/>
  <c r="Q87" i="12"/>
  <c r="H87" i="12"/>
  <c r="G87" i="12"/>
  <c r="F87" i="12"/>
  <c r="E87" i="12"/>
  <c r="D87" i="12"/>
  <c r="C87" i="12"/>
  <c r="B87" i="12"/>
  <c r="Q86" i="12"/>
  <c r="H86" i="12"/>
  <c r="G86" i="12"/>
  <c r="F86" i="12"/>
  <c r="E86" i="12"/>
  <c r="D86" i="12"/>
  <c r="C86" i="12"/>
  <c r="B86" i="12"/>
  <c r="Q85" i="12"/>
  <c r="H85" i="12"/>
  <c r="G85" i="12"/>
  <c r="F85" i="12"/>
  <c r="E85" i="12"/>
  <c r="D85" i="12"/>
  <c r="C85" i="12"/>
  <c r="B85" i="12"/>
  <c r="Q84" i="12"/>
  <c r="H84" i="12"/>
  <c r="G84" i="12"/>
  <c r="F84" i="12"/>
  <c r="E84" i="12"/>
  <c r="D84" i="12"/>
  <c r="C84" i="12"/>
  <c r="B84" i="12"/>
  <c r="Q83" i="12"/>
  <c r="H83" i="12"/>
  <c r="G83" i="12"/>
  <c r="F83" i="12"/>
  <c r="E83" i="12"/>
  <c r="D83" i="12"/>
  <c r="C83" i="12"/>
  <c r="B83" i="12"/>
  <c r="Q82" i="12"/>
  <c r="H82" i="12"/>
  <c r="G82" i="12"/>
  <c r="F82" i="12"/>
  <c r="E82" i="12"/>
  <c r="D82" i="12"/>
  <c r="C82" i="12"/>
  <c r="B82" i="12"/>
  <c r="Q81" i="12"/>
  <c r="H81" i="12"/>
  <c r="G81" i="12"/>
  <c r="F81" i="12"/>
  <c r="E81" i="12"/>
  <c r="D81" i="12"/>
  <c r="C81" i="12"/>
  <c r="B81" i="12"/>
  <c r="Q80" i="12"/>
  <c r="H80" i="12"/>
  <c r="G80" i="12"/>
  <c r="F80" i="12"/>
  <c r="E80" i="12"/>
  <c r="D80" i="12"/>
  <c r="C80" i="12"/>
  <c r="B80" i="12"/>
  <c r="Q79" i="12"/>
  <c r="H79" i="12"/>
  <c r="G79" i="12"/>
  <c r="F79" i="12"/>
  <c r="E79" i="12"/>
  <c r="D79" i="12"/>
  <c r="C79" i="12"/>
  <c r="B79" i="12"/>
  <c r="Q78" i="12"/>
  <c r="H78" i="12"/>
  <c r="G78" i="12"/>
  <c r="F78" i="12"/>
  <c r="E78" i="12"/>
  <c r="D78" i="12"/>
  <c r="C78" i="12"/>
  <c r="B78" i="12"/>
  <c r="Q77" i="12"/>
  <c r="H77" i="12"/>
  <c r="G77" i="12"/>
  <c r="F77" i="12"/>
  <c r="E77" i="12"/>
  <c r="D77" i="12"/>
  <c r="C77" i="12"/>
  <c r="B77" i="12"/>
  <c r="Q76" i="12"/>
  <c r="H76" i="12"/>
  <c r="G76" i="12"/>
  <c r="F76" i="12"/>
  <c r="E76" i="12"/>
  <c r="D76" i="12"/>
  <c r="C76" i="12"/>
  <c r="B76" i="12"/>
  <c r="Q75" i="12"/>
  <c r="H75" i="12"/>
  <c r="G75" i="12"/>
  <c r="F75" i="12"/>
  <c r="E75" i="12"/>
  <c r="D75" i="12"/>
  <c r="C75" i="12"/>
  <c r="B75" i="12"/>
  <c r="Q73" i="12"/>
  <c r="H73" i="12"/>
  <c r="G73" i="12"/>
  <c r="F73" i="12"/>
  <c r="E73" i="12"/>
  <c r="D73" i="12"/>
  <c r="C73" i="12"/>
  <c r="B73" i="12"/>
  <c r="Q72" i="12"/>
  <c r="H72" i="12"/>
  <c r="G72" i="12"/>
  <c r="F72" i="12"/>
  <c r="E72" i="12"/>
  <c r="D72" i="12"/>
  <c r="C72" i="12"/>
  <c r="B72" i="12"/>
  <c r="Q71" i="12"/>
  <c r="H71" i="12"/>
  <c r="G71" i="12"/>
  <c r="F71" i="12"/>
  <c r="E71" i="12"/>
  <c r="D71" i="12"/>
  <c r="C71" i="12"/>
  <c r="B71" i="12"/>
  <c r="Q70" i="12"/>
  <c r="H70" i="12"/>
  <c r="G70" i="12"/>
  <c r="F70" i="12"/>
  <c r="E70" i="12"/>
  <c r="D70" i="12"/>
  <c r="C70" i="12"/>
  <c r="B70" i="12"/>
  <c r="Q69" i="12"/>
  <c r="H69" i="12"/>
  <c r="G69" i="12"/>
  <c r="F69" i="12"/>
  <c r="E69" i="12"/>
  <c r="D69" i="12"/>
  <c r="C69" i="12"/>
  <c r="B69" i="12"/>
  <c r="Q68" i="12"/>
  <c r="H68" i="12"/>
  <c r="G68" i="12"/>
  <c r="F68" i="12"/>
  <c r="E68" i="12"/>
  <c r="D68" i="12"/>
  <c r="C68" i="12"/>
  <c r="B68" i="12"/>
  <c r="Q67" i="12"/>
  <c r="H67" i="12"/>
  <c r="G67" i="12"/>
  <c r="F67" i="12"/>
  <c r="E67" i="12"/>
  <c r="D67" i="12"/>
  <c r="C67" i="12"/>
  <c r="B67" i="12"/>
  <c r="Q66" i="12"/>
  <c r="H66" i="12"/>
  <c r="G66" i="12"/>
  <c r="F66" i="12"/>
  <c r="E66" i="12"/>
  <c r="D66" i="12"/>
  <c r="C66" i="12"/>
  <c r="B66" i="12"/>
  <c r="Q65" i="12"/>
  <c r="H65" i="12"/>
  <c r="G65" i="12"/>
  <c r="F65" i="12"/>
  <c r="E65" i="12"/>
  <c r="D65" i="12"/>
  <c r="C65" i="12"/>
  <c r="B65" i="12"/>
  <c r="Q64" i="12"/>
  <c r="H64" i="12"/>
  <c r="G64" i="12"/>
  <c r="F64" i="12"/>
  <c r="E64" i="12"/>
  <c r="D64" i="12"/>
  <c r="C64" i="12"/>
  <c r="B64" i="12"/>
  <c r="Q63" i="12"/>
  <c r="H63" i="12"/>
  <c r="G63" i="12"/>
  <c r="F63" i="12"/>
  <c r="E63" i="12"/>
  <c r="D63" i="12"/>
  <c r="C63" i="12"/>
  <c r="B63" i="12"/>
  <c r="Q62" i="12"/>
  <c r="H62" i="12"/>
  <c r="G62" i="12"/>
  <c r="F62" i="12"/>
  <c r="E62" i="12"/>
  <c r="D62" i="12"/>
  <c r="C62" i="12"/>
  <c r="B62" i="12"/>
  <c r="Q61" i="12"/>
  <c r="H61" i="12"/>
  <c r="G61" i="12"/>
  <c r="F61" i="12"/>
  <c r="E61" i="12"/>
  <c r="D61" i="12"/>
  <c r="C61" i="12"/>
  <c r="B61" i="12"/>
  <c r="Q60" i="12"/>
  <c r="H60" i="12"/>
  <c r="G60" i="12"/>
  <c r="F60" i="12"/>
  <c r="E60" i="12"/>
  <c r="D60" i="12"/>
  <c r="C60" i="12"/>
  <c r="B60" i="12"/>
  <c r="Q59" i="12"/>
  <c r="H59" i="12"/>
  <c r="G59" i="12"/>
  <c r="F59" i="12"/>
  <c r="E59" i="12"/>
  <c r="D59" i="12"/>
  <c r="C59" i="12"/>
  <c r="B59" i="12"/>
  <c r="Q58" i="12"/>
  <c r="H58" i="12"/>
  <c r="G58" i="12"/>
  <c r="F58" i="12"/>
  <c r="E58" i="12"/>
  <c r="D58" i="12"/>
  <c r="C58" i="12"/>
  <c r="B58" i="12"/>
  <c r="Q57" i="12"/>
  <c r="H57" i="12"/>
  <c r="G57" i="12"/>
  <c r="F57" i="12"/>
  <c r="E57" i="12"/>
  <c r="D57" i="12"/>
  <c r="C57" i="12"/>
  <c r="B57" i="12"/>
  <c r="Q56" i="12"/>
  <c r="H56" i="12"/>
  <c r="G56" i="12"/>
  <c r="F56" i="12"/>
  <c r="E56" i="12"/>
  <c r="D56" i="12"/>
  <c r="C56" i="12"/>
  <c r="B56" i="12"/>
  <c r="Q55" i="12"/>
  <c r="H55" i="12"/>
  <c r="G55" i="12"/>
  <c r="F55" i="12"/>
  <c r="E55" i="12"/>
  <c r="D55" i="12"/>
  <c r="C55" i="12"/>
  <c r="B55" i="12"/>
  <c r="Q54" i="12"/>
  <c r="H54" i="12"/>
  <c r="G54" i="12"/>
  <c r="F54" i="12"/>
  <c r="E54" i="12"/>
  <c r="D54" i="12"/>
  <c r="C54" i="12"/>
  <c r="B54" i="12"/>
  <c r="Q53" i="12"/>
  <c r="H53" i="12"/>
  <c r="G53" i="12"/>
  <c r="F53" i="12"/>
  <c r="E53" i="12"/>
  <c r="D53" i="12"/>
  <c r="C53" i="12"/>
  <c r="B53" i="12"/>
  <c r="Q52" i="12"/>
  <c r="H52" i="12"/>
  <c r="G52" i="12"/>
  <c r="F52" i="12"/>
  <c r="E52" i="12"/>
  <c r="D52" i="12"/>
  <c r="C52" i="12"/>
  <c r="B52" i="12"/>
  <c r="Q51" i="12"/>
  <c r="H51" i="12"/>
  <c r="G51" i="12"/>
  <c r="F51" i="12"/>
  <c r="E51" i="12"/>
  <c r="D51" i="12"/>
  <c r="C51" i="12"/>
  <c r="B51" i="12"/>
  <c r="Q50" i="12"/>
  <c r="H50" i="12"/>
  <c r="G50" i="12"/>
  <c r="F50" i="12"/>
  <c r="E50" i="12"/>
  <c r="D50" i="12"/>
  <c r="C50" i="12"/>
  <c r="B50" i="12"/>
  <c r="Q49" i="12"/>
  <c r="H49" i="12"/>
  <c r="G49" i="12"/>
  <c r="F49" i="12"/>
  <c r="E49" i="12"/>
  <c r="D49" i="12"/>
  <c r="C49" i="12"/>
  <c r="B49" i="12"/>
  <c r="Q48" i="12"/>
  <c r="H48" i="12"/>
  <c r="G48" i="12"/>
  <c r="F48" i="12"/>
  <c r="E48" i="12"/>
  <c r="D48" i="12"/>
  <c r="C48" i="12"/>
  <c r="B48" i="12"/>
  <c r="H47" i="12"/>
  <c r="G47" i="12"/>
  <c r="F47" i="12"/>
  <c r="E47" i="12"/>
  <c r="D47" i="12"/>
  <c r="Q46" i="12"/>
  <c r="H46" i="12"/>
  <c r="G46" i="12"/>
  <c r="F46" i="12"/>
  <c r="E46" i="12"/>
  <c r="D46" i="12"/>
  <c r="C46" i="12"/>
  <c r="B46" i="12"/>
  <c r="Q45" i="12"/>
  <c r="H45" i="12"/>
  <c r="G45" i="12"/>
  <c r="F45" i="12"/>
  <c r="E45" i="12"/>
  <c r="D45" i="12"/>
  <c r="C45" i="12"/>
  <c r="B45" i="12"/>
  <c r="H44" i="12"/>
  <c r="G44" i="12"/>
  <c r="F44" i="12"/>
  <c r="E44" i="12"/>
  <c r="D44" i="12"/>
  <c r="C44" i="12"/>
  <c r="B44" i="12"/>
  <c r="Q43" i="12"/>
  <c r="H43" i="12"/>
  <c r="G43" i="12"/>
  <c r="F43" i="12"/>
  <c r="E43" i="12"/>
  <c r="D43" i="12"/>
  <c r="C43" i="12"/>
  <c r="B43" i="12"/>
  <c r="Q42" i="12"/>
  <c r="H42" i="12"/>
  <c r="G42" i="12"/>
  <c r="F42" i="12"/>
  <c r="E42" i="12"/>
  <c r="D42" i="12"/>
  <c r="C42" i="12"/>
  <c r="B42" i="12"/>
  <c r="Q41" i="12"/>
  <c r="H41" i="12"/>
  <c r="G41" i="12"/>
  <c r="F41" i="12"/>
  <c r="E41" i="12"/>
  <c r="D41" i="12"/>
  <c r="C41" i="12"/>
  <c r="B41" i="12"/>
  <c r="Q40" i="12"/>
  <c r="H40" i="12"/>
  <c r="G40" i="12"/>
  <c r="F40" i="12"/>
  <c r="E40" i="12"/>
  <c r="D40" i="12"/>
  <c r="C40" i="12"/>
  <c r="B40" i="12"/>
  <c r="Q39" i="12"/>
  <c r="H39" i="12"/>
  <c r="G39" i="12"/>
  <c r="F39" i="12"/>
  <c r="E39" i="12"/>
  <c r="D39" i="12"/>
  <c r="C39" i="12"/>
  <c r="B39" i="12"/>
  <c r="Q38" i="12"/>
  <c r="H38" i="12"/>
  <c r="G38" i="12"/>
  <c r="F38" i="12"/>
  <c r="E38" i="12"/>
  <c r="D38" i="12"/>
  <c r="C38" i="12"/>
  <c r="B38" i="12"/>
  <c r="Q37" i="12"/>
  <c r="H37" i="12"/>
  <c r="G37" i="12"/>
  <c r="F37" i="12"/>
  <c r="E37" i="12"/>
  <c r="D37" i="12"/>
  <c r="C37" i="12"/>
  <c r="B37" i="12"/>
  <c r="Q36" i="12"/>
  <c r="H36" i="12"/>
  <c r="G36" i="12"/>
  <c r="F36" i="12"/>
  <c r="E36" i="12"/>
  <c r="D36" i="12"/>
  <c r="C36" i="12"/>
  <c r="B36" i="12"/>
  <c r="Q34" i="12"/>
  <c r="H34" i="12"/>
  <c r="G34" i="12"/>
  <c r="F34" i="12"/>
  <c r="E34" i="12"/>
  <c r="D34" i="12"/>
  <c r="C34" i="12"/>
  <c r="B34" i="12"/>
  <c r="Q33" i="12"/>
  <c r="H33" i="12"/>
  <c r="G33" i="12"/>
  <c r="F33" i="12"/>
  <c r="E33" i="12"/>
  <c r="D33" i="12"/>
  <c r="C33" i="12"/>
  <c r="B33" i="12"/>
  <c r="Q32" i="12"/>
  <c r="H32" i="12"/>
  <c r="G32" i="12"/>
  <c r="F32" i="12"/>
  <c r="E32" i="12"/>
  <c r="D32" i="12"/>
  <c r="C32" i="12"/>
  <c r="B32" i="12"/>
  <c r="Q31" i="12"/>
  <c r="H31" i="12"/>
  <c r="G31" i="12"/>
  <c r="F31" i="12"/>
  <c r="E31" i="12"/>
  <c r="D31" i="12"/>
  <c r="C31" i="12"/>
  <c r="B31" i="12"/>
  <c r="Q30" i="12"/>
  <c r="H30" i="12"/>
  <c r="G30" i="12"/>
  <c r="F30" i="12"/>
  <c r="E30" i="12"/>
  <c r="D30" i="12"/>
  <c r="C30" i="12"/>
  <c r="B30" i="12"/>
  <c r="A28" i="12"/>
  <c r="A27" i="12"/>
  <c r="A26" i="12"/>
  <c r="A25" i="12"/>
  <c r="A24" i="12"/>
  <c r="A23" i="12"/>
  <c r="A22" i="12"/>
  <c r="A21" i="12"/>
  <c r="A20" i="12"/>
  <c r="A19" i="12"/>
  <c r="A18" i="12"/>
  <c r="A17" i="12"/>
  <c r="A16" i="12"/>
  <c r="A15" i="12"/>
  <c r="A14" i="12"/>
  <c r="A13" i="12"/>
  <c r="A12" i="12"/>
  <c r="A11" i="12"/>
  <c r="A10" i="12"/>
  <c r="A9" i="12"/>
  <c r="A8" i="12"/>
  <c r="A7" i="12"/>
  <c r="A6" i="12"/>
  <c r="A5" i="12"/>
  <c r="A4" i="12"/>
  <c r="A3" i="12"/>
  <c r="A2" i="12"/>
  <c r="F41" i="13"/>
  <c r="F40" i="13"/>
  <c r="F33" i="13"/>
  <c r="F30" i="13"/>
  <c r="F29" i="13"/>
  <c r="F25" i="13"/>
  <c r="H19" i="13"/>
  <c r="F12" i="13"/>
  <c r="H5" i="13"/>
  <c r="Q43" i="15"/>
  <c r="M43" i="15"/>
  <c r="S42" i="15"/>
  <c r="O42" i="15"/>
  <c r="S41" i="15"/>
  <c r="O41" i="15"/>
  <c r="S40" i="15"/>
  <c r="O40" i="15"/>
  <c r="S39" i="15"/>
  <c r="O39" i="15"/>
  <c r="S38" i="15"/>
  <c r="O38" i="15"/>
  <c r="S37" i="15"/>
  <c r="O37" i="15"/>
  <c r="S36" i="15"/>
  <c r="O36" i="15"/>
  <c r="S35" i="15"/>
  <c r="O35" i="15"/>
  <c r="S34" i="15"/>
  <c r="O34" i="15"/>
  <c r="S33" i="15"/>
  <c r="O33" i="15"/>
  <c r="S32" i="15"/>
  <c r="O32" i="15"/>
  <c r="S31" i="15"/>
  <c r="O31" i="15"/>
  <c r="G25" i="15"/>
  <c r="G24" i="15"/>
  <c r="G23" i="15"/>
  <c r="G22" i="15"/>
  <c r="G21" i="15"/>
  <c r="G20" i="15"/>
  <c r="G19" i="15"/>
  <c r="G18" i="15"/>
  <c r="G17" i="15"/>
  <c r="P16" i="15"/>
  <c r="G16" i="15"/>
  <c r="G15" i="15"/>
  <c r="G14" i="15"/>
  <c r="G13" i="15"/>
  <c r="G12" i="15"/>
  <c r="G11" i="15"/>
  <c r="O10" i="15"/>
  <c r="N11" i="15" s="1"/>
  <c r="G10" i="15"/>
  <c r="G9" i="15"/>
  <c r="G8" i="15"/>
  <c r="N7" i="15"/>
  <c r="N8" i="15" s="1"/>
  <c r="G7" i="15"/>
  <c r="G6" i="15"/>
  <c r="G5" i="15"/>
  <c r="G4" i="15"/>
  <c r="AH183" i="11"/>
  <c r="AL183" i="11" s="1"/>
  <c r="X183" i="11"/>
  <c r="V183" i="11"/>
  <c r="X182" i="11"/>
  <c r="V182" i="11"/>
  <c r="X181" i="11"/>
  <c r="V181" i="11"/>
  <c r="X180" i="11"/>
  <c r="V180" i="11"/>
  <c r="X179" i="11"/>
  <c r="V179" i="11"/>
  <c r="X178" i="11"/>
  <c r="V178" i="11"/>
  <c r="AH177" i="11"/>
  <c r="AL177" i="11" s="1"/>
  <c r="V177" i="11"/>
  <c r="V176" i="11"/>
  <c r="X175" i="11"/>
  <c r="V175" i="11"/>
  <c r="AH174" i="11"/>
  <c r="AL174" i="11" s="1"/>
  <c r="X174" i="11"/>
  <c r="V174" i="11"/>
  <c r="X173" i="11"/>
  <c r="V173" i="11"/>
  <c r="X172" i="11"/>
  <c r="V172" i="11"/>
  <c r="V171" i="11"/>
  <c r="AH170" i="11"/>
  <c r="AL170" i="11" s="1"/>
  <c r="X170" i="11"/>
  <c r="V170" i="11"/>
  <c r="AH169" i="11"/>
  <c r="AL169" i="11" s="1"/>
  <c r="X169" i="11"/>
  <c r="V169" i="11"/>
  <c r="AH168" i="11"/>
  <c r="AL168" i="11" s="1"/>
  <c r="X168" i="11"/>
  <c r="V168" i="11"/>
  <c r="AH167" i="11"/>
  <c r="AL167" i="11" s="1"/>
  <c r="X167" i="11"/>
  <c r="V167" i="11"/>
  <c r="X166" i="11"/>
  <c r="V166" i="11"/>
  <c r="X165" i="11"/>
  <c r="V165" i="11"/>
  <c r="AH164" i="11"/>
  <c r="AL164" i="11" s="1"/>
  <c r="X164" i="11"/>
  <c r="V164" i="11"/>
  <c r="V163" i="11"/>
  <c r="V162" i="11"/>
  <c r="X161" i="11"/>
  <c r="V161" i="11"/>
  <c r="V160" i="11"/>
  <c r="V159" i="11"/>
  <c r="X158" i="11"/>
  <c r="V158" i="11"/>
  <c r="AH157" i="11"/>
  <c r="V157" i="11"/>
  <c r="V156" i="11"/>
  <c r="V155" i="11"/>
  <c r="AI154" i="11"/>
  <c r="AH154" i="11"/>
  <c r="AL154" i="11" s="1"/>
  <c r="V154" i="11"/>
  <c r="AH153" i="11"/>
  <c r="X153" i="11"/>
  <c r="V153" i="11"/>
  <c r="AJ152" i="11"/>
  <c r="X152" i="11"/>
  <c r="V152" i="11"/>
  <c r="X151" i="11"/>
  <c r="AO150" i="11"/>
  <c r="W150" i="11"/>
  <c r="X149" i="11"/>
  <c r="AJ148" i="11"/>
  <c r="AJ147" i="11"/>
  <c r="AJ146" i="11"/>
  <c r="X146" i="11"/>
  <c r="AJ145" i="11"/>
  <c r="X145" i="11"/>
  <c r="X144" i="11"/>
  <c r="AJ143" i="11"/>
  <c r="X143" i="11"/>
  <c r="X142" i="11"/>
  <c r="AJ141" i="11"/>
  <c r="X141" i="11"/>
  <c r="AJ140" i="11"/>
  <c r="X140" i="11"/>
  <c r="AJ139" i="11"/>
  <c r="X139" i="11"/>
  <c r="AJ138" i="11"/>
  <c r="X138" i="11"/>
  <c r="AJ137" i="11"/>
  <c r="X137" i="11"/>
  <c r="W136" i="11"/>
  <c r="AJ135" i="11"/>
  <c r="X135" i="11"/>
  <c r="AJ134" i="11"/>
  <c r="X134" i="11"/>
  <c r="AJ133" i="11"/>
  <c r="X133" i="11"/>
  <c r="AJ132" i="11"/>
  <c r="AH132" i="11"/>
  <c r="X132" i="11"/>
  <c r="V132" i="11"/>
  <c r="AJ131" i="11"/>
  <c r="AH131" i="11"/>
  <c r="X131" i="11"/>
  <c r="V131" i="11"/>
  <c r="AJ130" i="11"/>
  <c r="AH130" i="11"/>
  <c r="X130" i="11"/>
  <c r="V130" i="11"/>
  <c r="AJ129" i="11"/>
  <c r="AH129" i="11"/>
  <c r="X129" i="11"/>
  <c r="V129" i="11"/>
  <c r="AJ128" i="11"/>
  <c r="AH128" i="11"/>
  <c r="X128" i="11"/>
  <c r="V128" i="11"/>
  <c r="AJ127" i="11"/>
  <c r="AH127" i="11"/>
  <c r="X127" i="11"/>
  <c r="V127" i="11"/>
  <c r="AJ126" i="11"/>
  <c r="AH126" i="11"/>
  <c r="X126" i="11"/>
  <c r="V126" i="11"/>
  <c r="AJ125" i="11"/>
  <c r="AH125" i="11"/>
  <c r="X125" i="11"/>
  <c r="V125" i="11"/>
  <c r="AJ124" i="11"/>
  <c r="AH124" i="11"/>
  <c r="X124" i="11"/>
  <c r="V124" i="11"/>
  <c r="AJ123" i="11"/>
  <c r="AH123" i="11"/>
  <c r="X123" i="11"/>
  <c r="V123" i="11"/>
  <c r="AJ122" i="11"/>
  <c r="X122" i="11"/>
  <c r="V122" i="11"/>
  <c r="AJ121" i="11"/>
  <c r="X121" i="11"/>
  <c r="V121" i="11"/>
  <c r="AJ120" i="11"/>
  <c r="AH120" i="11"/>
  <c r="X120" i="11"/>
  <c r="V120" i="11"/>
  <c r="AJ119" i="11"/>
  <c r="AH119" i="11"/>
  <c r="X119" i="11"/>
  <c r="V119" i="11"/>
  <c r="AJ118" i="11"/>
  <c r="X118" i="11"/>
  <c r="V118" i="11"/>
  <c r="AJ117" i="11"/>
  <c r="AH117" i="11"/>
  <c r="X117" i="11"/>
  <c r="V117" i="11"/>
  <c r="AJ116" i="11"/>
  <c r="AH116" i="11"/>
  <c r="X116" i="11"/>
  <c r="V116" i="11"/>
  <c r="AJ115" i="11"/>
  <c r="AH115" i="11"/>
  <c r="X115" i="11"/>
  <c r="V115" i="11"/>
  <c r="AJ114" i="11"/>
  <c r="AH114" i="11"/>
  <c r="X114" i="11"/>
  <c r="V114" i="11"/>
  <c r="AJ113" i="11"/>
  <c r="AH113" i="11"/>
  <c r="X113" i="11"/>
  <c r="V113" i="11"/>
  <c r="AJ112" i="11"/>
  <c r="X112" i="11"/>
  <c r="V112" i="11"/>
  <c r="AJ111" i="11"/>
  <c r="AH111" i="11"/>
  <c r="X111" i="11"/>
  <c r="V111" i="11"/>
  <c r="AJ110" i="11"/>
  <c r="AH110" i="11"/>
  <c r="X110" i="11"/>
  <c r="V110" i="11"/>
  <c r="AJ109" i="11"/>
  <c r="AH109" i="11"/>
  <c r="X109" i="11"/>
  <c r="V109" i="11"/>
  <c r="AJ108" i="11"/>
  <c r="X108" i="11"/>
  <c r="V108" i="11"/>
  <c r="AJ107" i="11"/>
  <c r="X107" i="11"/>
  <c r="V107" i="11"/>
  <c r="AJ106" i="11"/>
  <c r="AH106" i="11"/>
  <c r="X106" i="11"/>
  <c r="V106" i="11"/>
  <c r="AJ105" i="11"/>
  <c r="AH105" i="11"/>
  <c r="X105" i="11"/>
  <c r="V105" i="11"/>
  <c r="AJ104" i="11"/>
  <c r="X104" i="11"/>
  <c r="V104" i="11"/>
  <c r="AJ103" i="11"/>
  <c r="X103" i="11"/>
  <c r="V103" i="11"/>
  <c r="AJ102" i="11"/>
  <c r="AH102" i="11"/>
  <c r="X102" i="11"/>
  <c r="V102" i="11"/>
  <c r="AJ101" i="11"/>
  <c r="AH101" i="11"/>
  <c r="X101" i="11"/>
  <c r="V101" i="11"/>
  <c r="AJ100" i="11"/>
  <c r="X100" i="11"/>
  <c r="V100" i="11"/>
  <c r="AJ99" i="11"/>
  <c r="AH99" i="11"/>
  <c r="X99" i="11"/>
  <c r="V99" i="11"/>
  <c r="AJ98" i="11"/>
  <c r="AH98" i="11"/>
  <c r="X98" i="11"/>
  <c r="V98" i="11"/>
  <c r="AJ97" i="11"/>
  <c r="AH97" i="11"/>
  <c r="X97" i="11"/>
  <c r="V97" i="11"/>
  <c r="AJ96" i="11"/>
  <c r="AH96" i="11"/>
  <c r="X96" i="11"/>
  <c r="V96" i="11"/>
  <c r="AJ95" i="11"/>
  <c r="AH95" i="11"/>
  <c r="X95" i="11"/>
  <c r="V95" i="11"/>
  <c r="AJ94" i="11"/>
  <c r="AH94" i="11"/>
  <c r="X94" i="11"/>
  <c r="V94" i="11"/>
  <c r="AJ93" i="11"/>
  <c r="AH93" i="11"/>
  <c r="X93" i="11"/>
  <c r="V93" i="11"/>
  <c r="AJ92" i="11"/>
  <c r="AH92" i="11"/>
  <c r="X92" i="11"/>
  <c r="V92" i="11"/>
  <c r="AJ91" i="11"/>
  <c r="AH91" i="11"/>
  <c r="X91" i="11"/>
  <c r="V91" i="11"/>
  <c r="AJ90" i="11"/>
  <c r="X90" i="11"/>
  <c r="V90" i="11"/>
  <c r="AJ89" i="11"/>
  <c r="X89" i="11"/>
  <c r="V89" i="11"/>
  <c r="AJ88" i="11"/>
  <c r="X88" i="11"/>
  <c r="V88" i="11"/>
  <c r="AJ87" i="11"/>
  <c r="X87" i="11"/>
  <c r="V87" i="11"/>
  <c r="AJ86" i="11"/>
  <c r="X86" i="11"/>
  <c r="V86" i="11"/>
  <c r="AJ85" i="11"/>
  <c r="X85" i="11"/>
  <c r="V85" i="11"/>
  <c r="AJ84" i="11"/>
  <c r="X84" i="11"/>
  <c r="V84" i="11"/>
  <c r="AJ83" i="11"/>
  <c r="AH83" i="11"/>
  <c r="X83" i="11"/>
  <c r="V83" i="11"/>
  <c r="AJ82" i="11"/>
  <c r="X82" i="11"/>
  <c r="V82" i="11"/>
  <c r="AJ81" i="11"/>
  <c r="X81" i="11"/>
  <c r="V81" i="11"/>
  <c r="AJ80" i="11"/>
  <c r="X80" i="11"/>
  <c r="V80" i="11"/>
  <c r="AJ79" i="11"/>
  <c r="AH79" i="11"/>
  <c r="X79" i="11"/>
  <c r="V79" i="11"/>
  <c r="AJ78" i="11"/>
  <c r="X78" i="11"/>
  <c r="V78" i="11"/>
  <c r="AJ77" i="11"/>
  <c r="X77" i="11"/>
  <c r="V77" i="11"/>
  <c r="AJ76" i="11"/>
  <c r="AH76" i="11"/>
  <c r="X76" i="11"/>
  <c r="V76" i="11"/>
  <c r="AJ75" i="11"/>
  <c r="X75" i="11"/>
  <c r="V75" i="11"/>
  <c r="AI74" i="11"/>
  <c r="AJ74" i="11" s="1"/>
  <c r="AH74" i="11"/>
  <c r="X74" i="11"/>
  <c r="V74" i="11"/>
  <c r="AJ73" i="11"/>
  <c r="X73" i="11"/>
  <c r="V73" i="11"/>
  <c r="AJ72" i="11"/>
  <c r="AH72" i="11"/>
  <c r="W72" i="11"/>
  <c r="V72" i="11"/>
  <c r="AJ71" i="11"/>
  <c r="AH71" i="11"/>
  <c r="X71" i="11"/>
  <c r="V71" i="11"/>
  <c r="AJ70" i="11"/>
  <c r="AH70" i="11"/>
  <c r="X70" i="11"/>
  <c r="V70" i="11"/>
  <c r="AJ69" i="11"/>
  <c r="AH69" i="11"/>
  <c r="X69" i="11"/>
  <c r="V69" i="11"/>
  <c r="AJ68" i="11"/>
  <c r="AH68" i="11"/>
  <c r="X68" i="11"/>
  <c r="V68" i="11"/>
  <c r="AJ67" i="11"/>
  <c r="X67" i="11"/>
  <c r="V67" i="11"/>
  <c r="AJ66" i="11"/>
  <c r="AH66" i="11"/>
  <c r="X66" i="11"/>
  <c r="V66" i="11"/>
  <c r="AJ65" i="11"/>
  <c r="AH65" i="11"/>
  <c r="X65" i="11"/>
  <c r="V65" i="11"/>
  <c r="AJ64" i="11"/>
  <c r="AH64" i="11"/>
  <c r="X64" i="11"/>
  <c r="V64" i="11"/>
  <c r="AJ63" i="11"/>
  <c r="AH63" i="11"/>
  <c r="X63" i="11"/>
  <c r="V63" i="11"/>
  <c r="AJ62" i="11"/>
  <c r="X62" i="11"/>
  <c r="V62" i="11"/>
  <c r="AJ61" i="11"/>
  <c r="X61" i="11"/>
  <c r="V61" i="11"/>
  <c r="AJ60" i="11"/>
  <c r="X60" i="11"/>
  <c r="V60" i="11"/>
  <c r="AJ59" i="11"/>
  <c r="X59" i="11"/>
  <c r="V59" i="11"/>
  <c r="AJ58" i="11"/>
  <c r="X58" i="11"/>
  <c r="V58" i="11"/>
  <c r="AJ57" i="11"/>
  <c r="X57" i="11"/>
  <c r="V57" i="11"/>
  <c r="AI56" i="11"/>
  <c r="AJ56" i="11" s="1"/>
  <c r="X56" i="11"/>
  <c r="V56" i="11"/>
  <c r="AJ55" i="11"/>
  <c r="X55" i="11"/>
  <c r="V55" i="11"/>
  <c r="AJ54" i="11"/>
  <c r="AH54" i="11"/>
  <c r="X54" i="11"/>
  <c r="V54" i="11"/>
  <c r="AJ53" i="11"/>
  <c r="AH53" i="11"/>
  <c r="X53" i="11"/>
  <c r="V53" i="11"/>
  <c r="AJ52" i="11"/>
  <c r="AH52" i="11"/>
  <c r="X52" i="11"/>
  <c r="V52" i="11"/>
  <c r="AJ51" i="11"/>
  <c r="AH51" i="11"/>
  <c r="X51" i="11"/>
  <c r="V51" i="11"/>
  <c r="AJ50" i="11"/>
  <c r="X50" i="11"/>
  <c r="V50" i="11"/>
  <c r="AJ49" i="11"/>
  <c r="AH49" i="11"/>
  <c r="X49" i="11"/>
  <c r="V49" i="11"/>
  <c r="AJ48" i="11"/>
  <c r="X48" i="11"/>
  <c r="V48" i="11"/>
  <c r="AJ47" i="11"/>
  <c r="X47" i="11"/>
  <c r="V47" i="11"/>
  <c r="AJ46" i="11"/>
  <c r="AH46" i="11"/>
  <c r="X46" i="11"/>
  <c r="V46" i="11"/>
  <c r="AJ45" i="11"/>
  <c r="AH45" i="11"/>
  <c r="X45" i="11"/>
  <c r="V45" i="11"/>
  <c r="AJ44" i="11"/>
  <c r="X44" i="11"/>
  <c r="V44" i="11"/>
  <c r="AJ43" i="11"/>
  <c r="AH43" i="11"/>
  <c r="X43" i="11"/>
  <c r="V43" i="11"/>
  <c r="AJ42" i="11"/>
  <c r="AH42" i="11"/>
  <c r="X42" i="11"/>
  <c r="V42" i="11"/>
  <c r="AJ41" i="11"/>
  <c r="AH41" i="11"/>
  <c r="X41" i="11"/>
  <c r="V41" i="11"/>
  <c r="AJ40" i="11"/>
  <c r="AH40" i="11"/>
  <c r="X40" i="11"/>
  <c r="V40" i="11"/>
  <c r="AJ39" i="11"/>
  <c r="AH39" i="11"/>
  <c r="X39" i="11"/>
  <c r="V39" i="11"/>
  <c r="AJ38" i="11"/>
  <c r="AH38" i="11"/>
  <c r="X38" i="11"/>
  <c r="V38" i="11"/>
  <c r="AJ37" i="11"/>
  <c r="AH37" i="11"/>
  <c r="X37" i="11"/>
  <c r="V37" i="11"/>
  <c r="AJ36" i="11"/>
  <c r="AH36" i="11"/>
  <c r="X36" i="11"/>
  <c r="V36" i="11"/>
  <c r="AJ35" i="11"/>
  <c r="X35" i="11"/>
  <c r="V35" i="11"/>
  <c r="AJ34" i="11"/>
  <c r="AH34" i="11"/>
  <c r="X34" i="11"/>
  <c r="V34" i="11"/>
  <c r="AJ33" i="11"/>
  <c r="AH33" i="11"/>
  <c r="X33" i="11"/>
  <c r="V33" i="11"/>
  <c r="AJ32" i="11"/>
  <c r="AH32" i="11"/>
  <c r="X32" i="11"/>
  <c r="V32" i="11"/>
  <c r="AJ31" i="11"/>
  <c r="AH31" i="11"/>
  <c r="X31" i="11"/>
  <c r="V31" i="11"/>
  <c r="AJ30" i="11"/>
  <c r="X30" i="11"/>
  <c r="V30" i="11"/>
  <c r="AJ29" i="11"/>
  <c r="AH29" i="11"/>
  <c r="X29" i="11"/>
  <c r="V29" i="11"/>
  <c r="AJ28" i="11"/>
  <c r="AH28" i="11"/>
  <c r="X28" i="11"/>
  <c r="V28" i="11"/>
  <c r="AJ27" i="11"/>
  <c r="AH27" i="11"/>
  <c r="X27" i="11"/>
  <c r="V27" i="11"/>
  <c r="AJ26" i="11"/>
  <c r="AH26" i="11"/>
  <c r="X26" i="11"/>
  <c r="V26" i="11"/>
  <c r="AJ25" i="11"/>
  <c r="AH25" i="11"/>
  <c r="X25" i="11"/>
  <c r="V25" i="11"/>
  <c r="AJ24" i="11"/>
  <c r="AH24" i="11"/>
  <c r="X24" i="11"/>
  <c r="V24" i="11"/>
  <c r="AJ23" i="11"/>
  <c r="AH23" i="11"/>
  <c r="X23" i="11"/>
  <c r="V23" i="11"/>
  <c r="AJ22" i="11"/>
  <c r="AH22" i="11"/>
  <c r="X22" i="11"/>
  <c r="V22" i="11"/>
  <c r="AJ21" i="11"/>
  <c r="AH21" i="11"/>
  <c r="X21" i="11"/>
  <c r="V21" i="11"/>
  <c r="AJ20" i="11"/>
  <c r="AH20" i="11"/>
  <c r="X20" i="11"/>
  <c r="V20" i="11"/>
  <c r="AJ19" i="11"/>
  <c r="AH19" i="11"/>
  <c r="X19" i="11"/>
  <c r="V19" i="11"/>
  <c r="AJ18" i="11"/>
  <c r="AH18" i="11"/>
  <c r="X18" i="11"/>
  <c r="V18" i="11"/>
  <c r="AJ17" i="11"/>
  <c r="AH17" i="11"/>
  <c r="X17" i="11"/>
  <c r="V17" i="11"/>
  <c r="AJ16" i="11"/>
  <c r="AH16" i="11"/>
  <c r="X16" i="11"/>
  <c r="V16" i="11"/>
  <c r="AJ15" i="11"/>
  <c r="X15" i="11"/>
  <c r="V15" i="11"/>
  <c r="AJ14" i="11"/>
  <c r="AH14" i="11"/>
  <c r="X14" i="11"/>
  <c r="V14" i="11"/>
  <c r="AJ13" i="11"/>
  <c r="AH13" i="11"/>
  <c r="X13" i="11"/>
  <c r="V13" i="11"/>
  <c r="AJ12" i="11"/>
  <c r="AH12" i="11"/>
  <c r="X12" i="11"/>
  <c r="V12" i="11"/>
  <c r="AJ11" i="11"/>
  <c r="AH11" i="11"/>
  <c r="X11" i="11"/>
  <c r="V11" i="11"/>
  <c r="AJ10" i="11"/>
  <c r="AH10" i="11"/>
  <c r="X10" i="11"/>
  <c r="V10" i="11"/>
  <c r="AJ9" i="11"/>
  <c r="AH9" i="11"/>
  <c r="X9" i="11"/>
  <c r="V9" i="11"/>
  <c r="AJ8" i="11"/>
  <c r="AH8" i="11"/>
  <c r="X8" i="11"/>
  <c r="V8" i="11"/>
  <c r="F42" i="10"/>
  <c r="F43" i="10" s="1"/>
  <c r="H37" i="10"/>
  <c r="E35" i="10"/>
  <c r="E34" i="10"/>
  <c r="E33" i="10"/>
  <c r="E30" i="10"/>
  <c r="E28" i="10"/>
  <c r="E27" i="10"/>
  <c r="E25" i="10"/>
  <c r="G24" i="10"/>
  <c r="E15" i="10"/>
  <c r="E14" i="10"/>
  <c r="E13" i="10"/>
  <c r="E11" i="10"/>
  <c r="E9" i="10"/>
  <c r="E8" i="10"/>
  <c r="E6" i="10"/>
  <c r="E5" i="10"/>
  <c r="L37" i="15"/>
  <c r="L45" i="15"/>
  <c r="L47" i="15"/>
  <c r="L44" i="15"/>
  <c r="L43" i="15"/>
  <c r="L39" i="15"/>
  <c r="L38" i="15"/>
  <c r="L32" i="15"/>
  <c r="L41" i="15"/>
  <c r="L46" i="15"/>
  <c r="L40" i="15"/>
  <c r="L31" i="15"/>
  <c r="L42" i="15"/>
  <c r="S43" i="15" l="1"/>
  <c r="S44" i="15" s="1"/>
  <c r="O11" i="15"/>
  <c r="N12" i="15" s="1"/>
  <c r="O43" i="15"/>
  <c r="O44" i="15" s="1"/>
  <c r="AL69" i="11"/>
  <c r="E12" i="10"/>
  <c r="F21" i="10" s="1"/>
  <c r="AL109" i="11"/>
  <c r="AQ97" i="11"/>
  <c r="AR97" i="11" s="1"/>
  <c r="AQ48" i="11"/>
  <c r="AR48" i="11" s="1"/>
  <c r="AQ92" i="11"/>
  <c r="AR92" i="11" s="1"/>
  <c r="AQ66" i="11"/>
  <c r="AR66" i="11" s="1"/>
  <c r="AQ104" i="11"/>
  <c r="AR104" i="11" s="1"/>
  <c r="AQ90" i="11"/>
  <c r="AR90" i="11" s="1"/>
  <c r="AQ49" i="11"/>
  <c r="AR49" i="11" s="1"/>
  <c r="AQ64" i="11"/>
  <c r="AR64" i="11" s="1"/>
  <c r="AQ96" i="11"/>
  <c r="AR96" i="11" s="1"/>
  <c r="AQ98" i="11"/>
  <c r="AR98" i="11" s="1"/>
  <c r="AQ153" i="11"/>
  <c r="AR153" i="11" s="1"/>
  <c r="AQ44" i="11"/>
  <c r="AR44" i="11" s="1"/>
  <c r="AQ46" i="11"/>
  <c r="AR46" i="11" s="1"/>
  <c r="AQ73" i="11"/>
  <c r="AR73" i="11" s="1"/>
  <c r="AQ75" i="11"/>
  <c r="AR75" i="11" s="1"/>
  <c r="AQ103" i="11"/>
  <c r="AR103" i="11" s="1"/>
  <c r="AQ117" i="11"/>
  <c r="AR117" i="11" s="1"/>
  <c r="AQ8" i="11"/>
  <c r="AR8" i="11" s="1"/>
  <c r="AQ9" i="11"/>
  <c r="AR9" i="11" s="1"/>
  <c r="AQ10" i="11"/>
  <c r="AR10" i="11" s="1"/>
  <c r="AQ11" i="11"/>
  <c r="AR11" i="11" s="1"/>
  <c r="AQ12" i="11"/>
  <c r="AR12" i="11" s="1"/>
  <c r="AQ13" i="11"/>
  <c r="AQ45" i="11"/>
  <c r="AR45" i="11" s="1"/>
  <c r="AQ51" i="11"/>
  <c r="AR51" i="11" s="1"/>
  <c r="AQ59" i="11"/>
  <c r="AR59" i="11" s="1"/>
  <c r="AQ63" i="11"/>
  <c r="AR63" i="11" s="1"/>
  <c r="AQ99" i="11"/>
  <c r="AR99" i="11" s="1"/>
  <c r="AQ100" i="11"/>
  <c r="AR100" i="11" s="1"/>
  <c r="AQ42" i="11"/>
  <c r="AR42" i="11" s="1"/>
  <c r="AQ43" i="11"/>
  <c r="AR43" i="11" s="1"/>
  <c r="AQ47" i="11"/>
  <c r="AR47" i="11" s="1"/>
  <c r="AQ65" i="11"/>
  <c r="AR65" i="11" s="1"/>
  <c r="AQ91" i="11"/>
  <c r="AR91" i="11" s="1"/>
  <c r="AQ70" i="11"/>
  <c r="AR70" i="11" s="1"/>
  <c r="AQ71" i="11"/>
  <c r="AR71" i="11" s="1"/>
  <c r="AQ72" i="11"/>
  <c r="AR72" i="11" s="1"/>
  <c r="AQ74" i="11"/>
  <c r="AR74" i="11" s="1"/>
  <c r="AQ93" i="11"/>
  <c r="AR93" i="11" s="1"/>
  <c r="AQ123" i="11"/>
  <c r="AR123" i="11" s="1"/>
  <c r="E31" i="10"/>
  <c r="E38" i="10" s="1"/>
  <c r="E17" i="10" l="1"/>
  <c r="E18" i="10" s="1"/>
  <c r="O12" i="15"/>
  <c r="N13" i="15" s="1"/>
  <c r="N14" i="15" s="1"/>
  <c r="O14" i="15" s="1"/>
  <c r="E37" i="10"/>
  <c r="AJ176" i="11" l="1"/>
  <c r="AI176" i="11"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Jane Claudia Oktavia</author>
  </authors>
  <commentList>
    <comment ref="Z7" authorId="0" shapeId="0" xr:uid="{00000000-0006-0000-0700-000001000000}">
      <text>
        <r>
          <rPr>
            <b/>
            <sz val="9"/>
            <color indexed="81"/>
            <rFont val="Tahoma"/>
            <family val="2"/>
          </rPr>
          <t>Jane Claudia Oktavia:</t>
        </r>
        <r>
          <rPr>
            <sz val="9"/>
            <color indexed="81"/>
            <rFont val="Tahoma"/>
            <family val="2"/>
          </rPr>
          <t xml:space="preserve">
MCP : 15JT
B2S : 25JT</t>
        </r>
      </text>
    </comment>
    <comment ref="AI7" authorId="0" shapeId="0" xr:uid="{00000000-0006-0000-0700-000002000000}">
      <text>
        <r>
          <rPr>
            <b/>
            <sz val="9"/>
            <color indexed="81"/>
            <rFont val="Tahoma"/>
            <family val="2"/>
          </rPr>
          <t xml:space="preserve">Jane Claudia Oktavia:
</t>
        </r>
        <r>
          <rPr>
            <sz val="9"/>
            <color indexed="81"/>
            <rFont val="Tahoma"/>
            <family val="2"/>
          </rPr>
          <t xml:space="preserve">
ESKALASI - IW - 25JT</t>
        </r>
      </text>
    </comment>
    <comment ref="AK7" authorId="0" shapeId="0" xr:uid="{00000000-0006-0000-0700-000003000000}">
      <text>
        <r>
          <rPr>
            <b/>
            <sz val="9"/>
            <color indexed="81"/>
            <rFont val="Tahoma"/>
            <family val="2"/>
          </rPr>
          <t>Jane Claudia Oktavia:</t>
        </r>
        <r>
          <rPr>
            <sz val="9"/>
            <color indexed="81"/>
            <rFont val="Tahoma"/>
            <family val="2"/>
          </rPr>
          <t xml:space="preserve">
BIAYA OPSIC : 15JT</t>
        </r>
      </text>
    </comment>
    <comment ref="AI56" authorId="0" shapeId="0" xr:uid="{00000000-0006-0000-0700-000004000000}">
      <text>
        <r>
          <rPr>
            <b/>
            <sz val="9"/>
            <color indexed="81"/>
            <rFont val="Tahoma"/>
            <family val="2"/>
          </rPr>
          <t>Jane Claudia Oktavia:</t>
        </r>
        <r>
          <rPr>
            <sz val="9"/>
            <color indexed="81"/>
            <rFont val="Tahoma"/>
            <family val="2"/>
          </rPr>
          <t xml:space="preserve">
tambahan add opsic 5jt</t>
        </r>
      </text>
    </comment>
    <comment ref="AI57" authorId="0" shapeId="0" xr:uid="{00000000-0006-0000-0700-000005000000}">
      <text>
        <r>
          <rPr>
            <b/>
            <sz val="9"/>
            <color indexed="81"/>
            <rFont val="Tahoma"/>
            <family val="2"/>
          </rPr>
          <t>Jane Claudia Oktavia:</t>
        </r>
        <r>
          <rPr>
            <sz val="9"/>
            <color indexed="81"/>
            <rFont val="Tahoma"/>
            <family val="2"/>
          </rPr>
          <t xml:space="preserve">
tambahan add opsic 5jt</t>
        </r>
      </text>
    </comment>
    <comment ref="X68" authorId="0" shapeId="0" xr:uid="{00000000-0006-0000-0700-000006000000}">
      <text>
        <r>
          <rPr>
            <b/>
            <sz val="9"/>
            <color indexed="81"/>
            <rFont val="Tahoma"/>
            <family val="2"/>
          </rPr>
          <t>Jane Claudia Oktavia:</t>
        </r>
        <r>
          <rPr>
            <sz val="9"/>
            <color indexed="81"/>
            <rFont val="Tahoma"/>
            <family val="2"/>
          </rPr>
          <t xml:space="preserve">
SEWA 10THN 5-5</t>
        </r>
      </text>
    </comment>
    <comment ref="AI152" authorId="0" shapeId="0" xr:uid="{00000000-0006-0000-0700-000007000000}">
      <text>
        <r>
          <rPr>
            <b/>
            <sz val="9"/>
            <color indexed="81"/>
            <rFont val="Tahoma"/>
            <family val="2"/>
          </rPr>
          <t>Jane Claudia Oktavia:</t>
        </r>
        <r>
          <rPr>
            <sz val="9"/>
            <color indexed="81"/>
            <rFont val="Tahoma"/>
            <family val="2"/>
          </rPr>
          <t xml:space="preserve">
TAMBAHAN OPSIC 5JT</t>
        </r>
      </text>
    </comment>
  </commentList>
</comments>
</file>

<file path=xl/sharedStrings.xml><?xml version="1.0" encoding="utf-8"?>
<sst xmlns="http://schemas.openxmlformats.org/spreadsheetml/2006/main" count="13017" uniqueCount="3495">
  <si>
    <t>0010601840011</t>
  </si>
  <si>
    <t>JLBUDIMULYAUTARA</t>
  </si>
  <si>
    <t>NEW MCP NON FO</t>
  </si>
  <si>
    <t>TSEL</t>
  </si>
  <si>
    <t>TB</t>
  </si>
  <si>
    <t>JABODETABEK (INNER)</t>
  </si>
  <si>
    <t>JAKARTA UTARA</t>
  </si>
  <si>
    <t>DKI JAKARTA</t>
  </si>
  <si>
    <t>0010601920011</t>
  </si>
  <si>
    <t>AWILEGA</t>
  </si>
  <si>
    <t>NEW BUILD</t>
  </si>
  <si>
    <t>JABODETABEK (OUTER)</t>
  </si>
  <si>
    <t>SUKABUMI</t>
  </si>
  <si>
    <t>JAWA BARAT</t>
  </si>
  <si>
    <t>0030571930031</t>
  </si>
  <si>
    <t>KOMPLEK GREEN GARDEN</t>
  </si>
  <si>
    <t>XL</t>
  </si>
  <si>
    <t>0030572010031</t>
  </si>
  <si>
    <t>TAMAN KOTA TANGERANG</t>
  </si>
  <si>
    <t>TANGERANG</t>
  </si>
  <si>
    <t>BANTEN</t>
  </si>
  <si>
    <t>KOTA TANGERANG</t>
  </si>
  <si>
    <t>0030572080031</t>
  </si>
  <si>
    <t>TAMAN GOLF BOULEVARD</t>
  </si>
  <si>
    <t>0030572100031</t>
  </si>
  <si>
    <t>KANDANG RODA SENTUL</t>
  </si>
  <si>
    <t>BOGOR</t>
  </si>
  <si>
    <t>0030572180031</t>
  </si>
  <si>
    <t>PONDOK CABE RAYA</t>
  </si>
  <si>
    <t>TANGERANG SELATAN</t>
  </si>
  <si>
    <t>0030572280031</t>
  </si>
  <si>
    <t>DUFAN MARINA</t>
  </si>
  <si>
    <t>0030572380031</t>
  </si>
  <si>
    <t>JALAN R. A. FADILLAH</t>
  </si>
  <si>
    <t>JALAN PANTAI INDAH SELATAN 2</t>
  </si>
  <si>
    <t>JAKARTA TIMUR</t>
  </si>
  <si>
    <t>0030572590031</t>
  </si>
  <si>
    <t>0030572600031</t>
  </si>
  <si>
    <t>JL INDUSTRI JATAKE</t>
  </si>
  <si>
    <t>KARANGSARI NEGLASARI</t>
  </si>
  <si>
    <t>0030572620031</t>
  </si>
  <si>
    <t>JL TELESONIC PASIRJAYA</t>
  </si>
  <si>
    <t>0030587400031</t>
  </si>
  <si>
    <t>PURA GUNUNG SALAK PERMANEN</t>
  </si>
  <si>
    <t>0030594960031</t>
  </si>
  <si>
    <t>0030594970031</t>
  </si>
  <si>
    <t>0030594980031</t>
  </si>
  <si>
    <t>JALAN MENTAWAI TOL</t>
  </si>
  <si>
    <t>SWASEMBADA TANJUNG PRIOK</t>
  </si>
  <si>
    <t>LONTAR DALAM KOJA</t>
  </si>
  <si>
    <t>0030595440031</t>
  </si>
  <si>
    <t>CILEUKSA SUKAJAYA</t>
  </si>
  <si>
    <t>BINTARA KENCANA TIMUR</t>
  </si>
  <si>
    <t>KOTA BEKASI</t>
  </si>
  <si>
    <t>SMART8</t>
  </si>
  <si>
    <t>0230560290231</t>
  </si>
  <si>
    <t>CIPONDOH KOTA TANGERANG</t>
  </si>
  <si>
    <t>0230580710231</t>
  </si>
  <si>
    <t>WANA KERTA SINDANG JAYA</t>
  </si>
  <si>
    <t>0230579860231</t>
  </si>
  <si>
    <t>LUBANG BUAYA CIPAYUNG</t>
  </si>
  <si>
    <t>0230560240231</t>
  </si>
  <si>
    <t>SEPATAN TANGERANG</t>
  </si>
  <si>
    <t>0030572500031</t>
  </si>
  <si>
    <t>SOW Year</t>
  </si>
  <si>
    <t>SONum</t>
  </si>
  <si>
    <t>Site ID</t>
  </si>
  <si>
    <t>Site ID Operator</t>
  </si>
  <si>
    <t>Site Name TBG</t>
  </si>
  <si>
    <t>Site Name Operator</t>
  </si>
  <si>
    <t>Site Type</t>
  </si>
  <si>
    <t>STIP Category</t>
  </si>
  <si>
    <t>Operator ID</t>
  </si>
  <si>
    <t>Company ID</t>
  </si>
  <si>
    <t>STIP Number</t>
  </si>
  <si>
    <t>STIP Date</t>
  </si>
  <si>
    <t>Latitude NOM</t>
  </si>
  <si>
    <t>Longitude NOM</t>
  </si>
  <si>
    <t>Address</t>
  </si>
  <si>
    <t>Regional</t>
  </si>
  <si>
    <t>Residence</t>
  </si>
  <si>
    <t>Province</t>
  </si>
  <si>
    <t>Mitra</t>
  </si>
  <si>
    <t>SITAC Officer</t>
  </si>
  <si>
    <t>Cand</t>
  </si>
  <si>
    <t>Longitude Candidat</t>
  </si>
  <si>
    <t>RF Height</t>
  </si>
  <si>
    <t>MW Height/Diameter</t>
  </si>
  <si>
    <t>Tower Type</t>
  </si>
  <si>
    <t>Field Type</t>
  </si>
  <si>
    <t>BAN</t>
  </si>
  <si>
    <t>Status IW</t>
  </si>
  <si>
    <t>RFC Projection</t>
  </si>
  <si>
    <t>RFC Month Projection</t>
  </si>
  <si>
    <t>RFC Date</t>
  </si>
  <si>
    <t>Aging RFC</t>
  </si>
  <si>
    <t>RFC Remark</t>
  </si>
  <si>
    <t>TAHAPAN PROJECT</t>
  </si>
  <si>
    <t>PROGRESS STATUS</t>
  </si>
  <si>
    <t>DETAIL PROGRESS</t>
  </si>
  <si>
    <t>STIP 1</t>
  </si>
  <si>
    <t>1129181001</t>
  </si>
  <si>
    <t>JUX064</t>
  </si>
  <si>
    <t>1127731003</t>
  </si>
  <si>
    <t>JAW-JK-TJP-0616</t>
  </si>
  <si>
    <t>1262801001</t>
  </si>
  <si>
    <t>SKB146</t>
  </si>
  <si>
    <t>1317441003</t>
  </si>
  <si>
    <t>JAW-BT-TNG-1458</t>
  </si>
  <si>
    <t>1260911003</t>
  </si>
  <si>
    <t>JAW-JB-CBI-0070</t>
  </si>
  <si>
    <t>1317501003</t>
  </si>
  <si>
    <t>JAW-BT-CPT-0476</t>
  </si>
  <si>
    <t>1127821003</t>
  </si>
  <si>
    <t>JAW-JK-TJP-0621</t>
  </si>
  <si>
    <t>1127871003</t>
  </si>
  <si>
    <t>JAW-JK-CKG-0669</t>
  </si>
  <si>
    <t>1127881003</t>
  </si>
  <si>
    <t>JAW-JK-TJP-0625</t>
  </si>
  <si>
    <t>1317781003</t>
  </si>
  <si>
    <t>JAW-BT-TNG-1467</t>
  </si>
  <si>
    <t>1317791003</t>
  </si>
  <si>
    <t>JAW-BT-TNG-1468</t>
  </si>
  <si>
    <t>1317811003</t>
  </si>
  <si>
    <t>JAW-BT-TGR-0061</t>
  </si>
  <si>
    <t>1261811003</t>
  </si>
  <si>
    <t>JAW-JB-CBI-0065</t>
  </si>
  <si>
    <t>JAW-BT-CPT-0447</t>
  </si>
  <si>
    <t>1128741003</t>
  </si>
  <si>
    <t>JAW-JK-TJP-0677</t>
  </si>
  <si>
    <t>1128751003</t>
  </si>
  <si>
    <t>JAW-JK-TJP-0679</t>
  </si>
  <si>
    <t>1262201003</t>
  </si>
  <si>
    <t>JAW-JB-BGR-0227</t>
  </si>
  <si>
    <t>1262221003</t>
  </si>
  <si>
    <t>JAW-JB-BKS-0708</t>
  </si>
  <si>
    <t>1317401003</t>
  </si>
  <si>
    <t>JAW-BT-TGR-0022</t>
  </si>
  <si>
    <t>JAW-BT-CPT-0472</t>
  </si>
  <si>
    <t>1128021023</t>
  </si>
  <si>
    <t>ZJKT2_6011</t>
  </si>
  <si>
    <t>1317281023</t>
  </si>
  <si>
    <t>ZJKT2_4285</t>
  </si>
  <si>
    <t>1317981023</t>
  </si>
  <si>
    <t>ZJKT2_6087</t>
  </si>
  <si>
    <t>1317261023</t>
  </si>
  <si>
    <t>ZJKT_5552</t>
  </si>
  <si>
    <t>Komplek Green Garden</t>
  </si>
  <si>
    <t>Taman Kota Tangerang</t>
  </si>
  <si>
    <t>Taman Golf Boulevard</t>
  </si>
  <si>
    <t>Kandang Roda Sentul</t>
  </si>
  <si>
    <t>Pondok Cabe Raya</t>
  </si>
  <si>
    <t>Dufan Marina</t>
  </si>
  <si>
    <t>Jalan Pantai Indah Selatan 2</t>
  </si>
  <si>
    <t>Jalan R. A. Fadillah</t>
  </si>
  <si>
    <t>PURA GUNUNG SALAK Permanen</t>
  </si>
  <si>
    <t>Jalan Mentawai Tol</t>
  </si>
  <si>
    <t>Cileuksa Sukajaya</t>
  </si>
  <si>
    <t>Wana Kerta Sindang Jaya</t>
  </si>
  <si>
    <t>Lubang Buaya Cipayung</t>
  </si>
  <si>
    <t>Wijaya Kusuma Ceger</t>
  </si>
  <si>
    <t>WIJAYAKUSUMA CEGER</t>
  </si>
  <si>
    <t>-6.125313</t>
  </si>
  <si>
    <t>Handri P</t>
  </si>
  <si>
    <t>SS Devi</t>
  </si>
  <si>
    <t>Aditya R</t>
  </si>
  <si>
    <t>NY</t>
  </si>
  <si>
    <t>DONE</t>
  </si>
  <si>
    <t>PT. BANJARPASIR NUSA PRATAMA</t>
  </si>
  <si>
    <t>PT. KARYA LINTAS SEJAHTERA</t>
  </si>
  <si>
    <t>SS</t>
  </si>
  <si>
    <t>GF</t>
  </si>
  <si>
    <t>BAN/BAK</t>
  </si>
  <si>
    <t>RFC</t>
  </si>
  <si>
    <t>SITAC</t>
  </si>
  <si>
    <t>Re-Hunting</t>
  </si>
  <si>
    <t>Re-Hunting Kandidat</t>
  </si>
  <si>
    <t>PT. ROTUA</t>
  </si>
  <si>
    <t>D</t>
  </si>
  <si>
    <t>C</t>
  </si>
  <si>
    <t>IMB Expired, Rekom Camat NY, menunggu SKRD</t>
  </si>
  <si>
    <t>PKS Done Review, Finishing PKS</t>
  </si>
  <si>
    <t>ZBGR_4269</t>
  </si>
  <si>
    <t>SUKARAJA BOGOR</t>
  </si>
  <si>
    <t>00230560280231</t>
  </si>
  <si>
    <t>016841/TBG-TB/SMART8/MKT/12/2019</t>
  </si>
  <si>
    <t>IN20_JB_1199</t>
  </si>
  <si>
    <t>IN20_JB_1136</t>
  </si>
  <si>
    <t>ZBDG_5616</t>
  </si>
  <si>
    <t>ZBGR_4588</t>
  </si>
  <si>
    <t>ZBGR_4610</t>
  </si>
  <si>
    <t>ZJKT2_5467</t>
  </si>
  <si>
    <t>ZJKT2_5468</t>
  </si>
  <si>
    <t>ZJKT2_5926</t>
  </si>
  <si>
    <t>ZJKT2_6085</t>
  </si>
  <si>
    <t>ZJKT2_6111</t>
  </si>
  <si>
    <t>ZJKT2_4127</t>
  </si>
  <si>
    <t>HUNew_BGR4085-2</t>
  </si>
  <si>
    <t>0230613560231</t>
  </si>
  <si>
    <t>0230613570231</t>
  </si>
  <si>
    <t>0230613590231</t>
  </si>
  <si>
    <t>0230613620231</t>
  </si>
  <si>
    <t>0230613630231</t>
  </si>
  <si>
    <t>0230613640231</t>
  </si>
  <si>
    <t>0230613710231</t>
  </si>
  <si>
    <t>0230613750231</t>
  </si>
  <si>
    <t>0230613770231</t>
  </si>
  <si>
    <t>0230613830231</t>
  </si>
  <si>
    <t>0230613930231</t>
  </si>
  <si>
    <t>0230614370231</t>
  </si>
  <si>
    <t>0230614440231</t>
  </si>
  <si>
    <t>IN20_JB_0812</t>
  </si>
  <si>
    <t>0230605900231</t>
  </si>
  <si>
    <t>1129321023</t>
  </si>
  <si>
    <t>ZJKT2_4563</t>
  </si>
  <si>
    <t>ALFAMART TIPAR CAKUNG 2</t>
  </si>
  <si>
    <t>PKP</t>
  </si>
  <si>
    <t>025829/TBG-PKP/SMART8/MKT/10/2020</t>
  </si>
  <si>
    <t>-6.1555</t>
  </si>
  <si>
    <t>106.92906</t>
  </si>
  <si>
    <t>Propose Tower Height</t>
  </si>
  <si>
    <t>PT. ORLIE INDONESIA</t>
  </si>
  <si>
    <t>PT. DWI SAMUDERA RAYA</t>
  </si>
  <si>
    <t>PT. LINTAS BANYU LESTARI</t>
  </si>
  <si>
    <t>Realisasi IW</t>
  </si>
  <si>
    <t>23054786231</t>
  </si>
  <si>
    <t>23054864231</t>
  </si>
  <si>
    <t>0230553940231</t>
  </si>
  <si>
    <t>0230553950231</t>
  </si>
  <si>
    <t>0230553960231</t>
  </si>
  <si>
    <t>0230560250231</t>
  </si>
  <si>
    <t>0230560260231</t>
  </si>
  <si>
    <t>0230560270231</t>
  </si>
  <si>
    <t>0230560300231</t>
  </si>
  <si>
    <t>0230560320231</t>
  </si>
  <si>
    <t>0230560330231</t>
  </si>
  <si>
    <t>0230560340231</t>
  </si>
  <si>
    <t>0230560350231</t>
  </si>
  <si>
    <t>0230560360231</t>
  </si>
  <si>
    <t>0230560380231</t>
  </si>
  <si>
    <t>0230560390231</t>
  </si>
  <si>
    <t>0230560780231</t>
  </si>
  <si>
    <t>0030572030031</t>
  </si>
  <si>
    <t>0030572060031</t>
  </si>
  <si>
    <t>0030572450031</t>
  </si>
  <si>
    <t>0230575230231</t>
  </si>
  <si>
    <t>0230575270231</t>
  </si>
  <si>
    <t>0230575300231</t>
  </si>
  <si>
    <t>0230575320231</t>
  </si>
  <si>
    <t>0230575330231</t>
  </si>
  <si>
    <t>0230579370231</t>
  </si>
  <si>
    <t>0230579380231</t>
  </si>
  <si>
    <t>0230579410231</t>
  </si>
  <si>
    <t>0230579440231</t>
  </si>
  <si>
    <t>0230579450231</t>
  </si>
  <si>
    <t>0230579480231</t>
  </si>
  <si>
    <t>0230579500231</t>
  </si>
  <si>
    <t>0230579530231</t>
  </si>
  <si>
    <t>0230579590231</t>
  </si>
  <si>
    <t>0230579610231</t>
  </si>
  <si>
    <t>0230579620231</t>
  </si>
  <si>
    <t>0230579640231</t>
  </si>
  <si>
    <t>0230579660231</t>
  </si>
  <si>
    <t>0230579790231</t>
  </si>
  <si>
    <t>0230579800231</t>
  </si>
  <si>
    <t>0230579810231</t>
  </si>
  <si>
    <t>0230579820231</t>
  </si>
  <si>
    <t>0230579910231</t>
  </si>
  <si>
    <t>0230579920231</t>
  </si>
  <si>
    <t>0230579960231</t>
  </si>
  <si>
    <t>0230579970231</t>
  </si>
  <si>
    <t>0230579980231</t>
  </si>
  <si>
    <t>0230579990231</t>
  </si>
  <si>
    <t>0230580000231</t>
  </si>
  <si>
    <t>0230580010231</t>
  </si>
  <si>
    <t>0230580020231</t>
  </si>
  <si>
    <t>0230580030231</t>
  </si>
  <si>
    <t>0230580060231</t>
  </si>
  <si>
    <t>0230580070231</t>
  </si>
  <si>
    <t>0230580080231</t>
  </si>
  <si>
    <t>0230580380231</t>
  </si>
  <si>
    <t>0230580640231</t>
  </si>
  <si>
    <t>0230580650231</t>
  </si>
  <si>
    <t>0230580720231</t>
  </si>
  <si>
    <t>0230580770231</t>
  </si>
  <si>
    <t>0230580870231</t>
  </si>
  <si>
    <t>0230581860231</t>
  </si>
  <si>
    <t>0230581870231</t>
  </si>
  <si>
    <t>0230581880231</t>
  </si>
  <si>
    <t>0230581890231</t>
  </si>
  <si>
    <t>0230581900231</t>
  </si>
  <si>
    <t>0230587600231</t>
  </si>
  <si>
    <t>0230587630231</t>
  </si>
  <si>
    <t>0230587650231</t>
  </si>
  <si>
    <t>0230587660231</t>
  </si>
  <si>
    <t>0230587670231</t>
  </si>
  <si>
    <t>0230587680231</t>
  </si>
  <si>
    <t>0230587690231</t>
  </si>
  <si>
    <t>0230587700231</t>
  </si>
  <si>
    <t>0230587710231</t>
  </si>
  <si>
    <t>0010587980011</t>
  </si>
  <si>
    <t>0030594990031</t>
  </si>
  <si>
    <t>0030600240031</t>
  </si>
  <si>
    <t>0030600930031</t>
  </si>
  <si>
    <t>0070607420071</t>
  </si>
  <si>
    <t>1128331001</t>
  </si>
  <si>
    <t>PERMANENCOMBATRUSUNMARUNDA</t>
  </si>
  <si>
    <t>JUX570</t>
  </si>
  <si>
    <t>021471/TBG-TB/TSEL/MKT/03/2020</t>
  </si>
  <si>
    <t>-6.0955</t>
  </si>
  <si>
    <t>106.9645</t>
  </si>
  <si>
    <t>RFI</t>
  </si>
  <si>
    <t>PRE-SITAC</t>
  </si>
  <si>
    <t>PRE CANCEL</t>
  </si>
  <si>
    <t>B</t>
  </si>
  <si>
    <t>35/0.3</t>
  </si>
  <si>
    <t>A</t>
  </si>
  <si>
    <t>35/1.2</t>
  </si>
  <si>
    <t>47/0.3</t>
  </si>
  <si>
    <t>SST</t>
  </si>
  <si>
    <t>Approval RNP Date</t>
  </si>
  <si>
    <t>Approval TNP Date</t>
  </si>
  <si>
    <t>Latitude Candidate</t>
  </si>
  <si>
    <t>E</t>
  </si>
  <si>
    <t>125932123</t>
  </si>
  <si>
    <t>131699123</t>
  </si>
  <si>
    <t>1127001023</t>
  </si>
  <si>
    <t>1127011023</t>
  </si>
  <si>
    <t>1127021023</t>
  </si>
  <si>
    <t>1317271023</t>
  </si>
  <si>
    <t>1260521023</t>
  </si>
  <si>
    <t>1260531023</t>
  </si>
  <si>
    <t>1317291023</t>
  </si>
  <si>
    <t>1260551023</t>
  </si>
  <si>
    <t>1317311023</t>
  </si>
  <si>
    <t>1260561023</t>
  </si>
  <si>
    <t>1260571023</t>
  </si>
  <si>
    <t>1317321023</t>
  </si>
  <si>
    <t>1317331023</t>
  </si>
  <si>
    <t>1317341023</t>
  </si>
  <si>
    <t>1127541023</t>
  </si>
  <si>
    <t>1317421003</t>
  </si>
  <si>
    <t>1127781003</t>
  </si>
  <si>
    <t>1317641003</t>
  </si>
  <si>
    <t>1261051023</t>
  </si>
  <si>
    <t>1261071023</t>
  </si>
  <si>
    <t>1261091023</t>
  </si>
  <si>
    <t>1317881023</t>
  </si>
  <si>
    <t>1261101023</t>
  </si>
  <si>
    <t>1317901023</t>
  </si>
  <si>
    <t>1261131023</t>
  </si>
  <si>
    <t>1261141023</t>
  </si>
  <si>
    <t>1261151023</t>
  </si>
  <si>
    <t>1261161023</t>
  </si>
  <si>
    <t>1261171023</t>
  </si>
  <si>
    <t>1261191023</t>
  </si>
  <si>
    <t>1261201023</t>
  </si>
  <si>
    <t>1261221023</t>
  </si>
  <si>
    <t>1261231023</t>
  </si>
  <si>
    <t>1261241023</t>
  </si>
  <si>
    <t>1317941023</t>
  </si>
  <si>
    <t>1261251023</t>
  </si>
  <si>
    <t>1261261023</t>
  </si>
  <si>
    <t>1261271023</t>
  </si>
  <si>
    <t>1261281023</t>
  </si>
  <si>
    <t>1261291023</t>
  </si>
  <si>
    <t>1261301023</t>
  </si>
  <si>
    <t>1261311023</t>
  </si>
  <si>
    <t>1261321023</t>
  </si>
  <si>
    <t>1261331023</t>
  </si>
  <si>
    <t>1261341023</t>
  </si>
  <si>
    <t>1261351023</t>
  </si>
  <si>
    <t>1261361023</t>
  </si>
  <si>
    <t>1261371023</t>
  </si>
  <si>
    <t>1261381023</t>
  </si>
  <si>
    <t>1261391023</t>
  </si>
  <si>
    <t>1261401023</t>
  </si>
  <si>
    <t>1261411023</t>
  </si>
  <si>
    <t>1317951023</t>
  </si>
  <si>
    <t>1261431023</t>
  </si>
  <si>
    <t>1261541023</t>
  </si>
  <si>
    <t>1261551023</t>
  </si>
  <si>
    <t>1317991023</t>
  </si>
  <si>
    <t>1318001023</t>
  </si>
  <si>
    <t>1261581023</t>
  </si>
  <si>
    <t>1318011023</t>
  </si>
  <si>
    <t>1128061023</t>
  </si>
  <si>
    <t>1318021023</t>
  </si>
  <si>
    <t>1318031023</t>
  </si>
  <si>
    <t>1318041023</t>
  </si>
  <si>
    <t>1318111023</t>
  </si>
  <si>
    <t>1128261023</t>
  </si>
  <si>
    <t>1318121023</t>
  </si>
  <si>
    <t>1128281023</t>
  </si>
  <si>
    <t>1128291023</t>
  </si>
  <si>
    <t>1128301023</t>
  </si>
  <si>
    <t>1318131023</t>
  </si>
  <si>
    <t>1318141023</t>
  </si>
  <si>
    <t>1318151023</t>
  </si>
  <si>
    <t>1128761003</t>
  </si>
  <si>
    <t>1129131003</t>
  </si>
  <si>
    <t>1129171003</t>
  </si>
  <si>
    <t>1263081007</t>
  </si>
  <si>
    <t>1319301023</t>
  </si>
  <si>
    <t>1319311023</t>
  </si>
  <si>
    <t>1263621023</t>
  </si>
  <si>
    <t>1263641023</t>
  </si>
  <si>
    <t>1263661023</t>
  </si>
  <si>
    <t>1319321023</t>
  </si>
  <si>
    <t>1319331023</t>
  </si>
  <si>
    <t>1263671023</t>
  </si>
  <si>
    <t>1319341023</t>
  </si>
  <si>
    <t>1319351023</t>
  </si>
  <si>
    <t>1263681023</t>
  </si>
  <si>
    <t>1263691023</t>
  </si>
  <si>
    <t>JAK0742</t>
  </si>
  <si>
    <t>JAK1028</t>
  </si>
  <si>
    <t>ZJKT2_5296</t>
  </si>
  <si>
    <t>ZJKT2_5301</t>
  </si>
  <si>
    <t>ZJKT2_5337</t>
  </si>
  <si>
    <t>ZJKT2_4070</t>
  </si>
  <si>
    <t>ZJKT2_4174</t>
  </si>
  <si>
    <t>ZBGR_4046</t>
  </si>
  <si>
    <t>ZJKT2_4388</t>
  </si>
  <si>
    <t>ZJKT2_4306</t>
  </si>
  <si>
    <t>ZJKT2_4350</t>
  </si>
  <si>
    <t>ZJKT2_4514</t>
  </si>
  <si>
    <t>ZBGR_4355</t>
  </si>
  <si>
    <t>ZJKT2_4999</t>
  </si>
  <si>
    <t>ZJKT2_5122</t>
  </si>
  <si>
    <t>ZJKT2_5175</t>
  </si>
  <si>
    <t>ZJKT2_4248</t>
  </si>
  <si>
    <t>JAW-BT-TNG-1457</t>
  </si>
  <si>
    <t>JAW-JK-TJP-0627</t>
  </si>
  <si>
    <t>JAW-BT-CPT-0464</t>
  </si>
  <si>
    <t>ZBGR_4328</t>
  </si>
  <si>
    <t>ZJKT2_4181</t>
  </si>
  <si>
    <t>ZJKT2_4968</t>
  </si>
  <si>
    <t>ZJKT2_5056</t>
  </si>
  <si>
    <t>ZJKT2_5192</t>
  </si>
  <si>
    <t>ZJKT2_6083</t>
  </si>
  <si>
    <t>ZJKT2_6073</t>
  </si>
  <si>
    <t>ZJKT2_6061</t>
  </si>
  <si>
    <t>ZJKT2_6058</t>
  </si>
  <si>
    <t>ZJKT2_6053</t>
  </si>
  <si>
    <t>ZJKT2_6052</t>
  </si>
  <si>
    <t>ZBGR_4676</t>
  </si>
  <si>
    <t>ZBGR_4675</t>
  </si>
  <si>
    <t>ZJKT2_5964</t>
  </si>
  <si>
    <t>ZJKT2_5956</t>
  </si>
  <si>
    <t>ZJKT2_5953</t>
  </si>
  <si>
    <t>ZJKT2_5936</t>
  </si>
  <si>
    <t>ZBGR_4660</t>
  </si>
  <si>
    <t>ZJKT2_6036</t>
  </si>
  <si>
    <t>ZJKT2_6016</t>
  </si>
  <si>
    <t>ZJKT2_5986</t>
  </si>
  <si>
    <t>ZJKT2_5911</t>
  </si>
  <si>
    <t>ZBGR_4657</t>
  </si>
  <si>
    <t>ZJKT2_5922</t>
  </si>
  <si>
    <t>ZBGR_4653</t>
  </si>
  <si>
    <t>ZJKT2_5921</t>
  </si>
  <si>
    <t>ZJKT2_5920</t>
  </si>
  <si>
    <t>ZJKT2_5918</t>
  </si>
  <si>
    <t>ZJKT2_5917</t>
  </si>
  <si>
    <t>ZJKT2_5913</t>
  </si>
  <si>
    <t>ZBGR_4652</t>
  </si>
  <si>
    <t>ZJKT2_5904</t>
  </si>
  <si>
    <t>ZJKT2_5902</t>
  </si>
  <si>
    <t>ZJKT2_5898</t>
  </si>
  <si>
    <t>ZJKT2_5897</t>
  </si>
  <si>
    <t>ZJKT2_4000</t>
  </si>
  <si>
    <t>ZJKT2_6107</t>
  </si>
  <si>
    <t>ZJKT2_6105</t>
  </si>
  <si>
    <t>ZJKT2_6074</t>
  </si>
  <si>
    <t>ZJKT2_5925</t>
  </si>
  <si>
    <t>ZJKT_6886</t>
  </si>
  <si>
    <t>ZJKT2_4247</t>
  </si>
  <si>
    <t>ZJKT2_4362</t>
  </si>
  <si>
    <t>ZJKT2_4539</t>
  </si>
  <si>
    <t>ZJKT2_5117</t>
  </si>
  <si>
    <t>ZJKT2_5209</t>
  </si>
  <si>
    <t>ZJKT2_6091</t>
  </si>
  <si>
    <t>ZJKT2_5899</t>
  </si>
  <si>
    <t>ZJKT2_5945</t>
  </si>
  <si>
    <t>ZJKT2_5961</t>
  </si>
  <si>
    <t>ZJKT2_6017</t>
  </si>
  <si>
    <t>ZJKT2_6081</t>
  </si>
  <si>
    <t>ZJKT2_6082</t>
  </si>
  <si>
    <t>ZJKT2_6089</t>
  </si>
  <si>
    <t>ZJKT2_6095</t>
  </si>
  <si>
    <t>JAW-JK-TJP-0680</t>
  </si>
  <si>
    <t>JAW-JK-TJP-0640</t>
  </si>
  <si>
    <t>JAW-JK-TJP-0628</t>
  </si>
  <si>
    <t>604034</t>
  </si>
  <si>
    <t>DEPOK CIMANGGIS</t>
  </si>
  <si>
    <t>013913/TBG-TB/SMART8/MKT/09/2019</t>
  </si>
  <si>
    <t>-6.363496</t>
  </si>
  <si>
    <t>KOTA DEPOK</t>
  </si>
  <si>
    <t>32</t>
  </si>
  <si>
    <t>KELAPA DUA TANGERANG</t>
  </si>
  <si>
    <t>013991/TBG-TB/SMART8/MKT/09/2019</t>
  </si>
  <si>
    <t>-6.239031</t>
  </si>
  <si>
    <t>KEBON JERUK 362</t>
  </si>
  <si>
    <t>015105/TBG-TB/SMART8/MKT/11/2019</t>
  </si>
  <si>
    <t>-6.202117</t>
  </si>
  <si>
    <t>JAKARTA BARAT</t>
  </si>
  <si>
    <t>30</t>
  </si>
  <si>
    <t>DURI KOSAMBI 371</t>
  </si>
  <si>
    <t>015106/TBG-TB/SMART8/MKT/11/2019</t>
  </si>
  <si>
    <t>-6.177989</t>
  </si>
  <si>
    <t>20</t>
  </si>
  <si>
    <t>HALIM PERDANA KUSUMAH 497</t>
  </si>
  <si>
    <t>015107/TBG-TB/SMART8/MKT/11/2019</t>
  </si>
  <si>
    <t>-6.266275</t>
  </si>
  <si>
    <t>40</t>
  </si>
  <si>
    <t>016842/TBG-TB/SMART8/MKT/12/2019</t>
  </si>
  <si>
    <t>-6.18155</t>
  </si>
  <si>
    <t>016837/TBG-TB/SMART8/MKT/12/2019</t>
  </si>
  <si>
    <t>-6.14699</t>
  </si>
  <si>
    <t>106.58906</t>
  </si>
  <si>
    <t>PT. MANDIRA INFRA TRIPAKARTI</t>
  </si>
  <si>
    <t>CIPUTAT TIMUR</t>
  </si>
  <si>
    <t>016838/TBG-TB/SMART8/MKT/12/2019</t>
  </si>
  <si>
    <t>-6.31615</t>
  </si>
  <si>
    <t>25</t>
  </si>
  <si>
    <t>BEKASI UTARA 1</t>
  </si>
  <si>
    <t>016839/TBG-TB/SMART8/MKT/12/2019</t>
  </si>
  <si>
    <t>-6.20892</t>
  </si>
  <si>
    <t>27</t>
  </si>
  <si>
    <t>CIBINONG BOGOR</t>
  </si>
  <si>
    <t>016840/TBG-TB/SMART8/MKT/12/2019</t>
  </si>
  <si>
    <t>-6.519681</t>
  </si>
  <si>
    <t>PAMULANG TANGERANG SELATAN</t>
  </si>
  <si>
    <t>016843/TBG-TB/SMART8/MKT/12/2019</t>
  </si>
  <si>
    <t>-6.334573</t>
  </si>
  <si>
    <t>BEJIDEPOK</t>
  </si>
  <si>
    <t>016845/TBG-TB/SMART8/MKT/12/2019</t>
  </si>
  <si>
    <t>-6.372441</t>
  </si>
  <si>
    <t>KARANG TENGAH KOTA TANGERANG</t>
  </si>
  <si>
    <t>016846/TBG-TB/SMART8/MKT/12/2019</t>
  </si>
  <si>
    <t>-6.226212</t>
  </si>
  <si>
    <t>BEKASI UTARA 2</t>
  </si>
  <si>
    <t>016847/TBG-TB/SMART8/MKT/12/2019</t>
  </si>
  <si>
    <t>-6.177563</t>
  </si>
  <si>
    <t>GUNUNG PUTRI BOGOR</t>
  </si>
  <si>
    <t>016848/TBG-TB/SMART8/MKT/12/2019</t>
  </si>
  <si>
    <t>-6.461526</t>
  </si>
  <si>
    <t>CIPUTAT 2</t>
  </si>
  <si>
    <t>016849/TBG-TB/SMART8/MKT/12/2019</t>
  </si>
  <si>
    <t>-6.299844</t>
  </si>
  <si>
    <t>28</t>
  </si>
  <si>
    <t>CIPUTAT 3</t>
  </si>
  <si>
    <t>016851/TBG-TB/SMART8/MKT/12/2019</t>
  </si>
  <si>
    <t>-6.299819</t>
  </si>
  <si>
    <t>PINANG</t>
  </si>
  <si>
    <t>016852/TBG-TB/SMART8/MKT/12/2019</t>
  </si>
  <si>
    <t>-6.195118</t>
  </si>
  <si>
    <t>KEMAYORAN</t>
  </si>
  <si>
    <t>016907/TBG-TB/SMART8/MKT/12/2019</t>
  </si>
  <si>
    <t>-6.157403</t>
  </si>
  <si>
    <t>JAKARTA PUSAT</t>
  </si>
  <si>
    <t>018395/TBG-TB/XL/MKT/01/2020</t>
  </si>
  <si>
    <t>-6.52122</t>
  </si>
  <si>
    <t>106.84114</t>
  </si>
  <si>
    <t>018422/TBG-TB/XL/MKT/01/2020</t>
  </si>
  <si>
    <t>-6.317092</t>
  </si>
  <si>
    <t>106.85829</t>
  </si>
  <si>
    <t>MONOPOLE</t>
  </si>
  <si>
    <t>018378/TBG-TB/XL/MKT/01/2020</t>
  </si>
  <si>
    <t>-6.152426</t>
  </si>
  <si>
    <t>106.949209</t>
  </si>
  <si>
    <t>018413/TBG-TB/XL/MKT/01/2020</t>
  </si>
  <si>
    <t>106.830387</t>
  </si>
  <si>
    <t>018423/TBG-TB/XL/MKT/01/2020</t>
  </si>
  <si>
    <t>-6.128104</t>
  </si>
  <si>
    <t>106.760621</t>
  </si>
  <si>
    <t>018393/TBG-TB/XL/MKT/01/2020</t>
  </si>
  <si>
    <t>-6.193476</t>
  </si>
  <si>
    <t>106.649175</t>
  </si>
  <si>
    <t>018444/TBG-TB/XL/MKT/01/2020</t>
  </si>
  <si>
    <t>-6.198783</t>
  </si>
  <si>
    <t>106.567911</t>
  </si>
  <si>
    <t>018445/TBG-TB/XL/MKT/01/2020</t>
  </si>
  <si>
    <t>-6.158613</t>
  </si>
  <si>
    <t>106.636761</t>
  </si>
  <si>
    <t>018447/TBG-TB/XL/MKT/01/2020</t>
  </si>
  <si>
    <t>-6.20141</t>
  </si>
  <si>
    <t>106.558209</t>
  </si>
  <si>
    <t>018386/TBG-TB/XL/MKT/01/2020</t>
  </si>
  <si>
    <t>-6.269968</t>
  </si>
  <si>
    <t>106.485605</t>
  </si>
  <si>
    <t>018435/TBG-TB/XL/MKT/01/2020</t>
  </si>
  <si>
    <t>-6.26192</t>
  </si>
  <si>
    <t>106.72722</t>
  </si>
  <si>
    <t>PT. TURANGGA EMPAT TIGA</t>
  </si>
  <si>
    <t>018403/TBG-TB/XL/MKT/01/2020</t>
  </si>
  <si>
    <t>-6.331283</t>
  </si>
  <si>
    <t>106.766244</t>
  </si>
  <si>
    <t>KEDAUNG WETAN NEGLASARI</t>
  </si>
  <si>
    <t>Kedaung Wetan Neglasari</t>
  </si>
  <si>
    <t>018388/TBG-TB/XL/MKT/01/2020</t>
  </si>
  <si>
    <t>-6.125174</t>
  </si>
  <si>
    <t>35</t>
  </si>
  <si>
    <t>PADEMANGAN TANJUNG PRIOK</t>
  </si>
  <si>
    <t>Pademangan Tanjung Priok</t>
  </si>
  <si>
    <t>018391/TBG-TB/XL/MKT/01/2020</t>
  </si>
  <si>
    <t>-6.121079</t>
  </si>
  <si>
    <t>MENTENG BINTARO</t>
  </si>
  <si>
    <t>018430/TBG-TB/XL/MKT/01/2020</t>
  </si>
  <si>
    <t>-6.27837</t>
  </si>
  <si>
    <t>BOJONGGEDE_BOGOR</t>
  </si>
  <si>
    <t>019275/TBG-TB/SMART8/MKT/01/2020</t>
  </si>
  <si>
    <t>-6.487618</t>
  </si>
  <si>
    <t>CIMANGGIS DEPOK 162</t>
  </si>
  <si>
    <t>019279/TBG-TB/SMART8/MKT/01/2020</t>
  </si>
  <si>
    <t>-6.372332</t>
  </si>
  <si>
    <t>BEKASI UTARA</t>
  </si>
  <si>
    <t>019282/TBG-TB/SMART8/MKT/01/2020</t>
  </si>
  <si>
    <t>-6.228204</t>
  </si>
  <si>
    <t>PASARKEMIS TANGERANG</t>
  </si>
  <si>
    <t>019284/TBG-TB/SMART8/MKT/01/2020</t>
  </si>
  <si>
    <t>-6.163653</t>
  </si>
  <si>
    <t>CIMANGGIS DEPOK 025</t>
  </si>
  <si>
    <t>019285/TBG-TB/SMART8/MKT/01/2020</t>
  </si>
  <si>
    <t>-6.356348</t>
  </si>
  <si>
    <t>019763/TBG-TB/SMART8/MKT/02/2020</t>
  </si>
  <si>
    <t>-6.294797</t>
  </si>
  <si>
    <t>106.896936</t>
  </si>
  <si>
    <t>TBG IN HOUSE</t>
  </si>
  <si>
    <t>KUTA JAYA PASARKEMIS</t>
  </si>
  <si>
    <t>Kuta Jaya Pasarkemis</t>
  </si>
  <si>
    <t>019714/TBG-TB/SMART8/MKT/02/2020</t>
  </si>
  <si>
    <t>-6.163851</t>
  </si>
  <si>
    <t>42</t>
  </si>
  <si>
    <t>SUKAASIH SUKATANI</t>
  </si>
  <si>
    <t>Sukaasih Sukatani</t>
  </si>
  <si>
    <t>019715/TBG-TB/SMART8/MKT/02/2020</t>
  </si>
  <si>
    <t>-6.221338</t>
  </si>
  <si>
    <t>BEKASI</t>
  </si>
  <si>
    <t>CIBATU CIKARANG SELATAN</t>
  </si>
  <si>
    <t>Cibatu Cikarang Selatan</t>
  </si>
  <si>
    <t>019718/TBG-TB/SMART8/MKT/02/2020</t>
  </si>
  <si>
    <t>-6.338886</t>
  </si>
  <si>
    <t>PASIRSARI CIKARANG SELATAN</t>
  </si>
  <si>
    <t>Pasirsari Cikarang Selatan</t>
  </si>
  <si>
    <t>019721/TBG-TB/SMART8/MKT/02/2020</t>
  </si>
  <si>
    <t>-6.307019</t>
  </si>
  <si>
    <t>CIKEDOKAN CIKARANG BARAT</t>
  </si>
  <si>
    <t>Cikedokan Cikarang Barat</t>
  </si>
  <si>
    <t>019722/TBG-TB/SMART8/MKT/02/2020</t>
  </si>
  <si>
    <t>-6.328378</t>
  </si>
  <si>
    <t>GANDAMEKAR CIKARANG BARAT</t>
  </si>
  <si>
    <t>Gandamekar Cikarang Barat</t>
  </si>
  <si>
    <t>019725/TBG-TB/SMART8/MKT/02/2020</t>
  </si>
  <si>
    <t>-6.294671</t>
  </si>
  <si>
    <t>KEBONKELAPA BOGOR TENGAH</t>
  </si>
  <si>
    <t>Kebonkelapa Bogor Tengah</t>
  </si>
  <si>
    <t>019727/TBG-TB/SMART8/MKT/02/2020</t>
  </si>
  <si>
    <t>-6.591009</t>
  </si>
  <si>
    <t>KOTA BOGOR</t>
  </si>
  <si>
    <t>SITU ILIR CIBUNGBULANG</t>
  </si>
  <si>
    <t>Situ Ilir Cibungbulang</t>
  </si>
  <si>
    <t>019730/TBG-TB/SMART8/MKT/02/2020</t>
  </si>
  <si>
    <t>-6.604124</t>
  </si>
  <si>
    <t>MANGUNJAYA TAMBUN SELATAN</t>
  </si>
  <si>
    <t>Mangunjaya Tambun Selatan</t>
  </si>
  <si>
    <t>019736/TBG-TB/SMART8/MKT/02/2020</t>
  </si>
  <si>
    <t>-6.24255</t>
  </si>
  <si>
    <t>BAHAGIA BABELAN</t>
  </si>
  <si>
    <t>Bahagia Babelan</t>
  </si>
  <si>
    <t>019738/TBG-TB/SMART8/MKT/02/2020</t>
  </si>
  <si>
    <t>-6.17631</t>
  </si>
  <si>
    <t>PAHLAWAN SETIA TARUMAJAYA</t>
  </si>
  <si>
    <t>Pahlawan Setia Tarumajaya</t>
  </si>
  <si>
    <t>019739/TBG-TB/SMART8/MKT/02/2020</t>
  </si>
  <si>
    <t>-6.13007</t>
  </si>
  <si>
    <t>MEKAR BAKTI PANONGAN</t>
  </si>
  <si>
    <t>Mekar Bakti Panongan</t>
  </si>
  <si>
    <t>019741/TBG-TB/SMART8/MKT/02/2020</t>
  </si>
  <si>
    <t>-6.252882</t>
  </si>
  <si>
    <t>SUSUKAN BOJONG GEDE</t>
  </si>
  <si>
    <t>Susukan Bojong Gede</t>
  </si>
  <si>
    <t>019743/TBG-TB/SMART8/MKT/02/2020</t>
  </si>
  <si>
    <t>-6.478516</t>
  </si>
  <si>
    <t>MEDAN SATRIA MEDAN SATRIA</t>
  </si>
  <si>
    <t>Medan Satria Medan Satria</t>
  </si>
  <si>
    <t>019756/TBG-TB/SMART8/MKT/02/2020</t>
  </si>
  <si>
    <t>-6.206452</t>
  </si>
  <si>
    <t>KOTA BARU BEKASI BARAT</t>
  </si>
  <si>
    <t>Kota Baru Bekasi Barat</t>
  </si>
  <si>
    <t>019757/TBG-TB/SMART8/MKT/02/2020</t>
  </si>
  <si>
    <t>-6.21632</t>
  </si>
  <si>
    <t>JATIRAHAYU PONDOKMELATI</t>
  </si>
  <si>
    <t>Jatirahayu Pondokmelati</t>
  </si>
  <si>
    <t>019758/TBG-TB/SMART8/MKT/02/2020</t>
  </si>
  <si>
    <t>-6.295498</t>
  </si>
  <si>
    <t>CIMUNING MUSTIKAJAYA</t>
  </si>
  <si>
    <t>Cimuning Mustikajaya</t>
  </si>
  <si>
    <t>019759/TBG-TB/SMART8/MKT/02/2020</t>
  </si>
  <si>
    <t>-6.316367</t>
  </si>
  <si>
    <t>019848/TBG-TB/SMART8/MKT/02/2020</t>
  </si>
  <si>
    <t>-6.196603</t>
  </si>
  <si>
    <t>106.5079</t>
  </si>
  <si>
    <t>CIAPUS CIOMAS</t>
  </si>
  <si>
    <t>Ciapus Ciomas</t>
  </si>
  <si>
    <t>019768/TBG-TB/SMART8/MKT/02/2020</t>
  </si>
  <si>
    <t>-6.601142</t>
  </si>
  <si>
    <t>TANAH BARU BEJI</t>
  </si>
  <si>
    <t>Tanah Baru Beji</t>
  </si>
  <si>
    <t>019769/TBG-TB/SMART8/MKT/02/2020</t>
  </si>
  <si>
    <t>-6.38254</t>
  </si>
  <si>
    <t>PARIGI MEKAR CISEENG</t>
  </si>
  <si>
    <t>Parigi Mekar Ciseeng</t>
  </si>
  <si>
    <t>019773/TBG-TB/SMART8/MKT/02/2020</t>
  </si>
  <si>
    <t>-6.450596</t>
  </si>
  <si>
    <t>CIANTRA CIKARANG SELATAN</t>
  </si>
  <si>
    <t>Ciantra Cikarang Selatan</t>
  </si>
  <si>
    <t>019774/TBG-TB/SMART8/MKT/02/2020</t>
  </si>
  <si>
    <t>-6.340953</t>
  </si>
  <si>
    <t>RAWAKALONG GUNUNG SINDUR</t>
  </si>
  <si>
    <t>Rawakalong Gunung Sindur</t>
  </si>
  <si>
    <t>019775/TBG-TB/SMART8/MKT/02/2020</t>
  </si>
  <si>
    <t>-6.362964</t>
  </si>
  <si>
    <t>RAGAJAYA BOJONG GEDE</t>
  </si>
  <si>
    <t>Ragajaya Bojong Gede</t>
  </si>
  <si>
    <t>019776/TBG-TB/SMART8/MKT/02/2020</t>
  </si>
  <si>
    <t>-6.44698</t>
  </si>
  <si>
    <t>KEDUNGJAYA BABELAN</t>
  </si>
  <si>
    <t>Kedungjaya Babelan</t>
  </si>
  <si>
    <t>019777/TBG-TB/SMART8/MKT/02/2020</t>
  </si>
  <si>
    <t>-6.157705</t>
  </si>
  <si>
    <t>KEBALEN BABELAN</t>
  </si>
  <si>
    <t>Kebalen Babelan</t>
  </si>
  <si>
    <t>019778/TBG-TB/SMART8/MKT/02/2020</t>
  </si>
  <si>
    <t>-6.19394</t>
  </si>
  <si>
    <t>PABUARAN CIBINONG</t>
  </si>
  <si>
    <t>Pabuaran Cibinong</t>
  </si>
  <si>
    <t>019779/TBG-TB/SMART8/MKT/02/2020</t>
  </si>
  <si>
    <t>-6.46181</t>
  </si>
  <si>
    <t>BABELAN BEKASI</t>
  </si>
  <si>
    <t>Babelan Bekasi</t>
  </si>
  <si>
    <t>019780/TBG-TB/SMART8/MKT/02/2020</t>
  </si>
  <si>
    <t>-6.176712</t>
  </si>
  <si>
    <t>KEBALEN BEKASI</t>
  </si>
  <si>
    <t>Kebalen Bekasi</t>
  </si>
  <si>
    <t>019783/TBG-TB/SMART8/MKT/02/2020</t>
  </si>
  <si>
    <t>-6.196864</t>
  </si>
  <si>
    <t>TUGU CIMANGGIS</t>
  </si>
  <si>
    <t>Tugu Cimanggis</t>
  </si>
  <si>
    <t>019784/TBG-TB/SMART8/MKT/02/2020</t>
  </si>
  <si>
    <t>-6.347367</t>
  </si>
  <si>
    <t>BOJONG NANGKA BANTEN</t>
  </si>
  <si>
    <t>Bojong Nangka Banten</t>
  </si>
  <si>
    <t>019785/TBG-TB/SMART8/MKT/02/2020</t>
  </si>
  <si>
    <t>-6.256287</t>
  </si>
  <si>
    <t>SUKAHURIP SUKATANI</t>
  </si>
  <si>
    <t>Sukahurip Sukatani</t>
  </si>
  <si>
    <t>019815/TBG-TB/SMART8/MKT/02/2020</t>
  </si>
  <si>
    <t>-6.213369</t>
  </si>
  <si>
    <t>PINAYUNGAN TELUKJAMBE TIMUR</t>
  </si>
  <si>
    <t>Pinayungan Telukjambe Timur</t>
  </si>
  <si>
    <t>019841/TBG-TB/SMART8/MKT/02/2020</t>
  </si>
  <si>
    <t>-6.360136</t>
  </si>
  <si>
    <t>KARAWANG</t>
  </si>
  <si>
    <t>BENGLE MAJALAYA</t>
  </si>
  <si>
    <t>Bengle Majalaya</t>
  </si>
  <si>
    <t>019842/TBG-TB/SMART8/MKT/02/2020</t>
  </si>
  <si>
    <t>-6.323467</t>
  </si>
  <si>
    <t>KARANGKEPUH BOJONEGARA</t>
  </si>
  <si>
    <t>Karangkepuh Bojonegara</t>
  </si>
  <si>
    <t>019849/TBG-TB/SMART8/MKT/02/2020</t>
  </si>
  <si>
    <t>-5.978916</t>
  </si>
  <si>
    <t>SERANG</t>
  </si>
  <si>
    <t>SUKADALEM WARINGINKURUNG</t>
  </si>
  <si>
    <t>Sukadalem Waringinkurung</t>
  </si>
  <si>
    <t>019854/TBG-TB/SMART8/MKT/02/2020</t>
  </si>
  <si>
    <t>-6.050434</t>
  </si>
  <si>
    <t>PEJUANG MEDAN SATRIA</t>
  </si>
  <si>
    <t>Pejuang Medan Satria</t>
  </si>
  <si>
    <t>019864/TBG-TB/SMART8/MKT/02/2020</t>
  </si>
  <si>
    <t>-6.180512</t>
  </si>
  <si>
    <t>NEGLASARI TANGERANG</t>
  </si>
  <si>
    <t>020065/TBG-TB/SMART8/MKT/02/2020</t>
  </si>
  <si>
    <t>-6.1563</t>
  </si>
  <si>
    <t>TANJUNG PRIOK UTARA</t>
  </si>
  <si>
    <t>020066/TBG-TB/SMART8/MKT/02/2020</t>
  </si>
  <si>
    <t>-6.11648</t>
  </si>
  <si>
    <t>PONDOK AREN SELATAN</t>
  </si>
  <si>
    <t>020067/TBG-TB/SMART8/MKT/02/2020</t>
  </si>
  <si>
    <t>-6.26639</t>
  </si>
  <si>
    <t>PONDOK AREN 5117</t>
  </si>
  <si>
    <t>020068/TBG-TB/SMART8/MKT/02/2020</t>
  </si>
  <si>
    <t>-6.25382</t>
  </si>
  <si>
    <t>CIPUTAT SELATAN</t>
  </si>
  <si>
    <t>020069/TBG-TB/SMART8/MKT/02/2020</t>
  </si>
  <si>
    <t>-6.29892</t>
  </si>
  <si>
    <t>020978/TBG-TB/XL/MKT/03/2020</t>
  </si>
  <si>
    <t>-6.668111</t>
  </si>
  <si>
    <t>106.7359</t>
  </si>
  <si>
    <t>GANDASARI TANGERANG</t>
  </si>
  <si>
    <t>Gandasari Tangerang</t>
  </si>
  <si>
    <t>021239/TBG-TB/SMART8/MKT/03/2020</t>
  </si>
  <si>
    <t>-6.203108</t>
  </si>
  <si>
    <t>JAKTIM CAKUNG BARAT</t>
  </si>
  <si>
    <t>Jaktim Cakung Barat</t>
  </si>
  <si>
    <t>021242/TBG-TB/SMART8/MKT/03/2020</t>
  </si>
  <si>
    <t>-6.168942</t>
  </si>
  <si>
    <t>KUNCIRAN</t>
  </si>
  <si>
    <t>Kunciran</t>
  </si>
  <si>
    <t>021244/TBG-TB/SMART8/MKT/03/2020</t>
  </si>
  <si>
    <t>-6.230812</t>
  </si>
  <si>
    <t>DURI KOSAMBI JAKARTA</t>
  </si>
  <si>
    <t>Duri Kosambi Jakarta</t>
  </si>
  <si>
    <t>021245/TBG-TB/SMART8/MKT/03/2020</t>
  </si>
  <si>
    <t>-6.182605</t>
  </si>
  <si>
    <t>26</t>
  </si>
  <si>
    <t>CAKUNG BARAT JAKTIM</t>
  </si>
  <si>
    <t>Cakung Barat Jaktim</t>
  </si>
  <si>
    <t>021246/TBG-TB/SMART8/MKT/03/2020</t>
  </si>
  <si>
    <t>-6.167689</t>
  </si>
  <si>
    <t>KALIDERES JAKBAR</t>
  </si>
  <si>
    <t>Kalideres Jakbar</t>
  </si>
  <si>
    <t>021247/TBG-TB/SMART8/MKT/03/2020</t>
  </si>
  <si>
    <t>-6.153465</t>
  </si>
  <si>
    <t>24</t>
  </si>
  <si>
    <t>PERIUK</t>
  </si>
  <si>
    <t>Periuk</t>
  </si>
  <si>
    <t>021248/TBG-TB/SMART8/MKT/03/2020</t>
  </si>
  <si>
    <t>-6.15483</t>
  </si>
  <si>
    <t>KENANGA</t>
  </si>
  <si>
    <t>Kenanga</t>
  </si>
  <si>
    <t>021249/TBG-TB/SMART8/MKT/03/2020</t>
  </si>
  <si>
    <t>-6.198763</t>
  </si>
  <si>
    <t>GAGA</t>
  </si>
  <si>
    <t>Gaga</t>
  </si>
  <si>
    <t>021250/TBG-TB/SMART8/MKT/03/2020</t>
  </si>
  <si>
    <t>-6.24051</t>
  </si>
  <si>
    <t>023436/TBG-TB/XL/MKT/06/2020</t>
  </si>
  <si>
    <t>023437/TBG-TB/XL/MKT/06/2020</t>
  </si>
  <si>
    <t>-6.118810</t>
  </si>
  <si>
    <t>106.913530</t>
  </si>
  <si>
    <t>023435/TBG-TB/XL/MKT/06/2020</t>
  </si>
  <si>
    <t>-6.300262</t>
  </si>
  <si>
    <t>106.695322</t>
  </si>
  <si>
    <t>KAMPUNG BETING KOJA</t>
  </si>
  <si>
    <t>023438/TBG-TB/XL/MKT/06/2020</t>
  </si>
  <si>
    <t>-6.119154</t>
  </si>
  <si>
    <t>023524/TBG-TB/XL/MKT/06/2020</t>
  </si>
  <si>
    <t>-6.59522</t>
  </si>
  <si>
    <t>106.44636</t>
  </si>
  <si>
    <t>023606/TBG-TB/XL/MKT/07/2020</t>
  </si>
  <si>
    <t>-6.224850</t>
  </si>
  <si>
    <t>106.957570</t>
  </si>
  <si>
    <t>KALIBARU CILINCING</t>
  </si>
  <si>
    <t>Kalibaru Cilincing</t>
  </si>
  <si>
    <t>025012/TBG-PKP/XL/MKT/09/2020</t>
  </si>
  <si>
    <t>-6.100122</t>
  </si>
  <si>
    <t>WARAKAS TANJUNG PRIOK</t>
  </si>
  <si>
    <t>025157/TBG-PKP/XL/MKT/09/2020</t>
  </si>
  <si>
    <t>-6.11765</t>
  </si>
  <si>
    <t>025389/TBG-TB/TSEL/MKT/09/2020</t>
  </si>
  <si>
    <t>-6.13228</t>
  </si>
  <si>
    <t>106.83543</t>
  </si>
  <si>
    <t>025397/TBG-TB/TSEL/MKT/09/2020</t>
  </si>
  <si>
    <t>-6.98871</t>
  </si>
  <si>
    <t>106.83992</t>
  </si>
  <si>
    <t>RAWA LUMBU 4</t>
  </si>
  <si>
    <t>HCPT</t>
  </si>
  <si>
    <t>027046/TBG-PKP/HCPT/MKT/11/2020</t>
  </si>
  <si>
    <t>-6.27475</t>
  </si>
  <si>
    <t>GUNUNG KALER TANGERANG</t>
  </si>
  <si>
    <t>027740/TBG-TB/SMART8/MKT/11/2020</t>
  </si>
  <si>
    <t>-6.100917</t>
  </si>
  <si>
    <t>106.371353</t>
  </si>
  <si>
    <t>WALANTAKA KOTA SERANG</t>
  </si>
  <si>
    <t>027741/TBG-TB/SMART8/MKT/11/2020</t>
  </si>
  <si>
    <t>-6.179163</t>
  </si>
  <si>
    <t>106.226535</t>
  </si>
  <si>
    <t>KOTA SERANG</t>
  </si>
  <si>
    <t>PARUNG KUDA SUKABUMI</t>
  </si>
  <si>
    <t>027743/TBG-TB/SMART8/MKT/11/2020</t>
  </si>
  <si>
    <t>-6.868283</t>
  </si>
  <si>
    <t>106.770666</t>
  </si>
  <si>
    <t>CITEUREUP BOGOR 2</t>
  </si>
  <si>
    <t>027746/TBG-TB/SMART8/MKT/11/2020</t>
  </si>
  <si>
    <t>-6.526776</t>
  </si>
  <si>
    <t>106.907988</t>
  </si>
  <si>
    <t>CIBUNGBULANG BOGOR</t>
  </si>
  <si>
    <t>027747/TBG-TB/SMART8/MKT/11/2020</t>
  </si>
  <si>
    <t>-6.61969</t>
  </si>
  <si>
    <t>106.65947</t>
  </si>
  <si>
    <t>GUNUNG SINDUR JAWA BARAT</t>
  </si>
  <si>
    <t>027748/TBG-TB/SMART8/MKT/11/2020</t>
  </si>
  <si>
    <t>-6.3913</t>
  </si>
  <si>
    <t>106.690697</t>
  </si>
  <si>
    <t>KOSAMBI BANTEN</t>
  </si>
  <si>
    <t>027755/TBG-TB/SMART8/MKT/11/2020</t>
  </si>
  <si>
    <t>-6.076241</t>
  </si>
  <si>
    <t>106.688004</t>
  </si>
  <si>
    <t>TIGARAKSA TANGERANG 2</t>
  </si>
  <si>
    <t>027759/TBG-TB/SMART8/MKT/11/2020</t>
  </si>
  <si>
    <t>-6.243617</t>
  </si>
  <si>
    <t>106.478106</t>
  </si>
  <si>
    <t>BEKASI UTARA KOTA BEKASI</t>
  </si>
  <si>
    <t>027761/TBG-TB/SMART8/MKT/11/2020</t>
  </si>
  <si>
    <t>-6.222518</t>
  </si>
  <si>
    <t>107.009133</t>
  </si>
  <si>
    <t>PERIUK KOTA TANGERANG</t>
  </si>
  <si>
    <t>027767/TBG-TB/SMART8/MKT/11/2020</t>
  </si>
  <si>
    <t>-6.16775</t>
  </si>
  <si>
    <t>106.59571</t>
  </si>
  <si>
    <t>KOSAMBI TANGERANG</t>
  </si>
  <si>
    <t>027777/TBG-TB/SMART8/MKT/11/2020</t>
  </si>
  <si>
    <t>-6.111795</t>
  </si>
  <si>
    <t>106.649533</t>
  </si>
  <si>
    <t>LIMO KOTA DEPOK</t>
  </si>
  <si>
    <t>027822/TBG-TB/SMART8/MKT/11/2020</t>
  </si>
  <si>
    <t>-6.37966</t>
  </si>
  <si>
    <t>106.77532</t>
  </si>
  <si>
    <t>GUNUNG SINDUR BOGOR</t>
  </si>
  <si>
    <t>027829/TBG-TB/SMART8/MKT/11/2020</t>
  </si>
  <si>
    <t>-6.37713</t>
  </si>
  <si>
    <t>106.659012</t>
  </si>
  <si>
    <t>0030595820031</t>
  </si>
  <si>
    <t>0030615460031</t>
  </si>
  <si>
    <t>1129561003</t>
  </si>
  <si>
    <t>JAW-JK-TJP-0653</t>
  </si>
  <si>
    <t>POLE_KAWASAN_INDUSTRI_RELOCATION</t>
  </si>
  <si>
    <t>028066/TBG-TB/XL/MKT/12/2020</t>
  </si>
  <si>
    <t>-6.100736</t>
  </si>
  <si>
    <t>106.715155</t>
  </si>
  <si>
    <t>PT. FERGACO TEKNIKA</t>
  </si>
  <si>
    <t>0230615270231</t>
  </si>
  <si>
    <t>0230615380231</t>
  </si>
  <si>
    <t>1263821023</t>
  </si>
  <si>
    <t>BOGOR UTARA KOTA BOGOR</t>
  </si>
  <si>
    <t>1263831023</t>
  </si>
  <si>
    <t>CIBUNGBULANG BOGOR 2</t>
  </si>
  <si>
    <t>028045/TBG-TB/SMART8/MKT/12/2020</t>
  </si>
  <si>
    <t>028056/TBG-TB/SMART8/MKT/12/2020</t>
  </si>
  <si>
    <t>-6.585862</t>
  </si>
  <si>
    <t>106.66486</t>
  </si>
  <si>
    <t>Tower Height</t>
  </si>
  <si>
    <t>Submit Date</t>
  </si>
  <si>
    <t>Nominal</t>
  </si>
  <si>
    <t>Category</t>
  </si>
  <si>
    <t>Category Sales</t>
  </si>
  <si>
    <t>Region</t>
  </si>
  <si>
    <t>Kabupaten</t>
  </si>
  <si>
    <t>Kecamatan</t>
  </si>
  <si>
    <t>Nom_Long</t>
  </si>
  <si>
    <t>Nom_Lat</t>
  </si>
  <si>
    <t>RF Plan (m) - LOI</t>
  </si>
  <si>
    <t>TX Plan (m) - LOI</t>
  </si>
  <si>
    <t>Search Ring (m) - LOI</t>
  </si>
  <si>
    <t>Candidate #</t>
  </si>
  <si>
    <t>Long (Dec)</t>
  </si>
  <si>
    <t>Lat (Dec)</t>
  </si>
  <si>
    <t>Proposed Height (m)</t>
  </si>
  <si>
    <t>In/ Out Polygon</t>
  </si>
  <si>
    <t>Remark</t>
  </si>
  <si>
    <t>Distance to Nom (m)</t>
  </si>
  <si>
    <t>RF Validate</t>
  </si>
  <si>
    <t>RF Remarks</t>
  </si>
  <si>
    <t>RF Date</t>
  </si>
  <si>
    <t>TX Validate</t>
  </si>
  <si>
    <t>FE</t>
  </si>
  <si>
    <t>Diameter</t>
  </si>
  <si>
    <t>TX Remarks</t>
  </si>
  <si>
    <t>TX Date</t>
  </si>
  <si>
    <t>JABO 1</t>
  </si>
  <si>
    <t>Jawa Barat</t>
  </si>
  <si>
    <t>Bogor</t>
  </si>
  <si>
    <t>Gunung Sindur</t>
  </si>
  <si>
    <t>40m</t>
  </si>
  <si>
    <t>30m</t>
  </si>
  <si>
    <t>250m</t>
  </si>
  <si>
    <t>52m</t>
  </si>
  <si>
    <t>Out SAR</t>
  </si>
  <si>
    <t>347 m</t>
  </si>
  <si>
    <t>326 m</t>
  </si>
  <si>
    <t>35m</t>
  </si>
  <si>
    <t>26m</t>
  </si>
  <si>
    <t>150m</t>
  </si>
  <si>
    <t>42m</t>
  </si>
  <si>
    <t>344 m</t>
  </si>
  <si>
    <t>JABO 2</t>
  </si>
  <si>
    <t>Banten</t>
  </si>
  <si>
    <t>Tangerang</t>
  </si>
  <si>
    <t>Kosambi</t>
  </si>
  <si>
    <t>547 m</t>
  </si>
  <si>
    <t>601 m</t>
  </si>
  <si>
    <t>Gunung Kaler</t>
  </si>
  <si>
    <t>In SAR</t>
  </si>
  <si>
    <t>115m</t>
  </si>
  <si>
    <t>JABO 3</t>
  </si>
  <si>
    <t>Citeureup</t>
  </si>
  <si>
    <t>43m</t>
  </si>
  <si>
    <t>91 m</t>
  </si>
  <si>
    <t>14 m</t>
  </si>
  <si>
    <t>Kota Serang</t>
  </si>
  <si>
    <t>Walantaka</t>
  </si>
  <si>
    <t>44m</t>
  </si>
  <si>
    <t>214m</t>
  </si>
  <si>
    <t>166m</t>
  </si>
  <si>
    <t>No.</t>
  </si>
  <si>
    <t>SF NOMINAL</t>
  </si>
  <si>
    <t>Proposed Tower Type</t>
  </si>
  <si>
    <t>Jabodetabek</t>
  </si>
  <si>
    <t>Gunung SIndur</t>
  </si>
  <si>
    <t>GREEN FIELD</t>
  </si>
  <si>
    <t>SST 52</t>
  </si>
  <si>
    <t>OUT SAR</t>
  </si>
  <si>
    <t>789m</t>
  </si>
  <si>
    <t>867m</t>
  </si>
  <si>
    <t>345m</t>
  </si>
  <si>
    <t>Cibungbulang</t>
  </si>
  <si>
    <t>160m</t>
  </si>
  <si>
    <t>193m</t>
  </si>
  <si>
    <t>Monopole</t>
  </si>
  <si>
    <t>MCP 20</t>
  </si>
  <si>
    <t>IN SAR</t>
  </si>
  <si>
    <t>3m</t>
  </si>
  <si>
    <t>Tigaraksa</t>
  </si>
  <si>
    <t>SST 42</t>
  </si>
  <si>
    <t>430m</t>
  </si>
  <si>
    <t>547m</t>
  </si>
  <si>
    <t>RF Validation Date</t>
  </si>
  <si>
    <t>Feasible</t>
  </si>
  <si>
    <t>Backup for P1</t>
  </si>
  <si>
    <t>P1</t>
  </si>
  <si>
    <t>Confirmation Needed</t>
  </si>
  <si>
    <t>Please check candidate coordinate</t>
  </si>
  <si>
    <t>Not Feasible</t>
  </si>
  <si>
    <t>Too near to OA sites, try to acquire  around -6.1107234/106.6454356</t>
  </si>
  <si>
    <t>Backup candidate</t>
  </si>
  <si>
    <t>[9.12.20] Submit eskalasi SITAC</t>
  </si>
  <si>
    <t>Propose Fortuna</t>
  </si>
  <si>
    <t>[9.12.20] Re-Hunting Kandidat</t>
  </si>
  <si>
    <t>[4.12.20] Submit permohonan perijinan PEMDA TANGKOT</t>
  </si>
  <si>
    <t>[9.12.20] Submit eskalasi SITAC
[4.12.20] Kandidat Approve</t>
  </si>
  <si>
    <t>Site Name</t>
  </si>
  <si>
    <t xml:space="preserve">Region XL </t>
  </si>
  <si>
    <t>Propinsi</t>
  </si>
  <si>
    <t xml:space="preserve">Proposed RF Height </t>
  </si>
  <si>
    <t>NOM Longitude</t>
  </si>
  <si>
    <t>NOM Latitude</t>
  </si>
  <si>
    <t>Kandidat</t>
  </si>
  <si>
    <t>Kandidat Longitude DMS</t>
  </si>
  <si>
    <t>Kandidat Latitude DMS</t>
  </si>
  <si>
    <t>Kandidat Longitude Decimal</t>
  </si>
  <si>
    <t>Kandidat Latitude Decimal</t>
  </si>
  <si>
    <t>Distance NOM to Candidate (m)</t>
  </si>
  <si>
    <t>Bearing NOM to Candidate</t>
  </si>
  <si>
    <t>SiteName</t>
  </si>
  <si>
    <t>Candidate location is too far from target area. Consider JR, Use candidate B -6.37925/106.65556 . Height Needed 45m, Please confirm</t>
  </si>
  <si>
    <t>TX not validated, RF not feasible</t>
  </si>
  <si>
    <t>Jabo_Outer_add_028</t>
  </si>
  <si>
    <t>Height Needed 45m</t>
  </si>
  <si>
    <t>ZBGR_4006</t>
  </si>
  <si>
    <t>BOG0152</t>
  </si>
  <si>
    <t>Backup candidate B</t>
  </si>
  <si>
    <t>ZBGR_4175</t>
  </si>
  <si>
    <t>Height needed 35m</t>
  </si>
  <si>
    <t>JAK1027</t>
  </si>
  <si>
    <t>Considering JR, Height needed 40m</t>
  </si>
  <si>
    <t>ZJKT_4455</t>
  </si>
  <si>
    <t>IN20_JB_1525</t>
  </si>
  <si>
    <t>Please check and justification needed if not possible, for location around -6.1107234/106.6454356</t>
  </si>
  <si>
    <t>ZJKT_6330</t>
  </si>
  <si>
    <t>0030571840031</t>
  </si>
  <si>
    <t>1127661003</t>
  </si>
  <si>
    <t>1317691003</t>
  </si>
  <si>
    <t>JAW-JK-KYB-0105</t>
  </si>
  <si>
    <t>JALAN KUBUR ISLAM</t>
  </si>
  <si>
    <t>Jalan Kubur Islam</t>
  </si>
  <si>
    <t>018369/TBG-TB/XL/MKT/01/2020</t>
  </si>
  <si>
    <t>-6.231306</t>
  </si>
  <si>
    <t>106.782136</t>
  </si>
  <si>
    <t>JAKARTA SELATAN</t>
  </si>
  <si>
    <t>1263651023</t>
  </si>
  <si>
    <t>06°06'07.6" S</t>
  </si>
  <si>
    <t>Parung Kuda</t>
  </si>
  <si>
    <t>lahan desa</t>
  </si>
  <si>
    <t>106°42'57.4" E</t>
  </si>
  <si>
    <t>06°06'10.3" S</t>
  </si>
  <si>
    <t>106°42'58.3" E</t>
  </si>
  <si>
    <t>06°06'25.6" S</t>
  </si>
  <si>
    <t>106°42'57.7" E</t>
  </si>
  <si>
    <t>173.39m</t>
  </si>
  <si>
    <t>262.38m</t>
  </si>
  <si>
    <t>713.1m</t>
  </si>
  <si>
    <t>JABO</t>
  </si>
  <si>
    <t>Submit RNP Date</t>
  </si>
  <si>
    <t>Submit TNP Date</t>
  </si>
  <si>
    <t>RF Plan</t>
  </si>
  <si>
    <t>MW Plan</t>
  </si>
  <si>
    <t>SAR</t>
  </si>
  <si>
    <t>OK</t>
  </si>
  <si>
    <t>Status SITAC</t>
  </si>
  <si>
    <t>Remark SITAC</t>
  </si>
  <si>
    <t>Evidence</t>
  </si>
  <si>
    <t>Aging</t>
  </si>
  <si>
    <t>RF LOI</t>
  </si>
  <si>
    <t>MW LOI</t>
  </si>
  <si>
    <t>Camouflage</t>
  </si>
  <si>
    <t>Distance to NOM</t>
  </si>
  <si>
    <t>IW Not Clear</t>
  </si>
  <si>
    <t>Yes</t>
  </si>
  <si>
    <t>IW Clear</t>
  </si>
  <si>
    <t>Propose 42 untuk menghindari penolakan warga, BA Penolakan terlampir</t>
  </si>
  <si>
    <t>Penolakan LL</t>
  </si>
  <si>
    <t>Geser Kandidat untuk menghindari Warga Sepadan tower yang menolak. BA Terlampir</t>
  </si>
  <si>
    <t>Tower Height (PI)</t>
  </si>
  <si>
    <t>Eskalasi done submit</t>
  </si>
  <si>
    <t>STATUS</t>
  </si>
  <si>
    <t>Waiting Approval</t>
  </si>
  <si>
    <t>273m</t>
  </si>
  <si>
    <t>MCP</t>
  </si>
  <si>
    <t>IW OG</t>
  </si>
  <si>
    <t>No</t>
  </si>
  <si>
    <t>Description</t>
  </si>
  <si>
    <t>qty</t>
  </si>
  <si>
    <t xml:space="preserve">Price </t>
  </si>
  <si>
    <t>CAPEX PLAN 2018</t>
  </si>
  <si>
    <t>Remarks</t>
  </si>
  <si>
    <t>AVRG COST 2016/2017</t>
  </si>
  <si>
    <t>11 th</t>
  </si>
  <si>
    <t>SIS</t>
  </si>
  <si>
    <t>Biaya Rekom</t>
  </si>
  <si>
    <t>Ls</t>
  </si>
  <si>
    <t>LS Price as per SITAC TBG Shop Price 2016 ( exclude PPH )</t>
  </si>
  <si>
    <t>Biaya Legalitas</t>
  </si>
  <si>
    <t>PKS, Koordinasi &amp; dokumentasi (exclude PPH)</t>
  </si>
  <si>
    <t>Biaya Ijin Warga per KK</t>
  </si>
  <si>
    <t>30 KK</t>
  </si>
  <si>
    <t>Fasos Fasum Ormas</t>
  </si>
  <si>
    <t>Total SITAC</t>
  </si>
  <si>
    <t>IMB</t>
  </si>
  <si>
    <t>IMB Reference</t>
  </si>
  <si>
    <t>CME + TOWER</t>
  </si>
  <si>
    <t>GM 42</t>
  </si>
  <si>
    <t>CAPEX CME with Structure GM</t>
  </si>
  <si>
    <t>CAPEX CME with GM dan Pemanen</t>
  </si>
  <si>
    <t>Excl cost of relocation material</t>
  </si>
  <si>
    <t xml:space="preserve"> </t>
  </si>
  <si>
    <t>Ijin Warga</t>
  </si>
  <si>
    <t xml:space="preserve">Biaya Jasa Operasional Site </t>
  </si>
  <si>
    <t>Additional Operasional Site</t>
  </si>
  <si>
    <t>Biaya Sitac (Tanpa IW)</t>
  </si>
  <si>
    <t>Biaya Operasional Sitac</t>
  </si>
  <si>
    <t>SPK Pre Sitac Release</t>
  </si>
  <si>
    <t>CME + TOWER Temporary</t>
  </si>
  <si>
    <t xml:space="preserve">CAPEX </t>
  </si>
  <si>
    <t>Report Internal</t>
  </si>
  <si>
    <t>Report Opr</t>
  </si>
  <si>
    <t>LUMSUM PRICE</t>
  </si>
  <si>
    <t>IW &amp;FASUM</t>
  </si>
  <si>
    <t xml:space="preserve">Site Name </t>
  </si>
  <si>
    <t>KABUPATEN</t>
  </si>
  <si>
    <t>Longitude Actual</t>
  </si>
  <si>
    <t>Latitude Actual</t>
  </si>
  <si>
    <t>Alamat</t>
  </si>
  <si>
    <t>Nama LL</t>
  </si>
  <si>
    <t>No HP LL</t>
  </si>
  <si>
    <t>Infra Type</t>
  </si>
  <si>
    <t>Power Supply</t>
  </si>
  <si>
    <t>PIC Sitac2</t>
  </si>
  <si>
    <t>Mitra Sitac</t>
  </si>
  <si>
    <t>Mitra CME</t>
  </si>
  <si>
    <t>Milestone</t>
  </si>
  <si>
    <t>Progress Detail</t>
  </si>
  <si>
    <t>BAN Actual ( 1 th )</t>
  </si>
  <si>
    <t>BAN ACTUAL 11th</t>
  </si>
  <si>
    <t>Operasional Site</t>
  </si>
  <si>
    <t>PKS dan Notaris</t>
  </si>
  <si>
    <t>Jml KK</t>
  </si>
  <si>
    <t>Biaya Ijin Warga (Reference : Average 2017)</t>
  </si>
  <si>
    <t>Jumlah Cost IW (Reference : Average 2017)</t>
  </si>
  <si>
    <t>FASUM/Ormas (Reference : Average 2017)</t>
  </si>
  <si>
    <t>Jml KK (Actual )</t>
  </si>
  <si>
    <t>IW (ACTUAL)</t>
  </si>
  <si>
    <t>Total IW (Actual)</t>
  </si>
  <si>
    <t>Additional Operational Cost Site</t>
  </si>
  <si>
    <t>Biaya sitac tanpa IW</t>
  </si>
  <si>
    <t>Sitac Service 2</t>
  </si>
  <si>
    <t xml:space="preserve">Cost CME with GM </t>
  </si>
  <si>
    <t>Cost  CME Permanen</t>
  </si>
  <si>
    <t>Total Sitac (Reference)</t>
  </si>
  <si>
    <t>CAPEX with GM</t>
  </si>
  <si>
    <t>CAPEX GM + Permanen</t>
  </si>
  <si>
    <t>Total Sitac Tanpa IW</t>
  </si>
  <si>
    <t>Total Sitac Reference + IMB</t>
  </si>
  <si>
    <t>KETERANGAN</t>
  </si>
  <si>
    <t>TIGARAKSA TANGERANG</t>
  </si>
  <si>
    <t>KAB. TANGERANG</t>
  </si>
  <si>
    <t>B2S</t>
  </si>
  <si>
    <t>25 KK</t>
  </si>
  <si>
    <t>SST 32</t>
  </si>
  <si>
    <t>APPROVED</t>
  </si>
  <si>
    <t>TELUKNAGA</t>
  </si>
  <si>
    <t>38 KK</t>
  </si>
  <si>
    <t>GM 42m/SST 42m</t>
  </si>
  <si>
    <t>Jalan Raya Kukun Daun</t>
  </si>
  <si>
    <t>15 KK</t>
  </si>
  <si>
    <t>SST 52m</t>
  </si>
  <si>
    <t>SERANG CIKANDE</t>
  </si>
  <si>
    <t>28 KK</t>
  </si>
  <si>
    <t>SST 42m</t>
  </si>
  <si>
    <t>CIRUMPAK TANGERANG</t>
  </si>
  <si>
    <t>26 KK</t>
  </si>
  <si>
    <t>PATRASANA KRESEK</t>
  </si>
  <si>
    <t>16 KK</t>
  </si>
  <si>
    <t>STASIUN CIKOYA</t>
  </si>
  <si>
    <t>2 KK</t>
  </si>
  <si>
    <t>SST 32m</t>
  </si>
  <si>
    <t>STASIUN CIKOYA_Rev</t>
  </si>
  <si>
    <t>22 KK</t>
  </si>
  <si>
    <t>-</t>
  </si>
  <si>
    <t>MEKAR WANGI TANGERANG</t>
  </si>
  <si>
    <t>MEKAR WANGI TANGERANG_Rev</t>
  </si>
  <si>
    <t>CIBUGEL CISOKA</t>
  </si>
  <si>
    <t>23 KK</t>
  </si>
  <si>
    <t>PANONGAN TANGERANG</t>
  </si>
  <si>
    <t>34 KK</t>
  </si>
  <si>
    <t>Raya Cisauk BSD</t>
  </si>
  <si>
    <t>8 KK</t>
  </si>
  <si>
    <t>Jatake Rangkasbitung</t>
  </si>
  <si>
    <t>21 KK</t>
  </si>
  <si>
    <t>GEMPOLSARISEPATANTIMURBANTEN</t>
  </si>
  <si>
    <t>BOJONG NANGKA KELAPA DUA</t>
  </si>
  <si>
    <t>KADUSIRUNG</t>
  </si>
  <si>
    <t>Dukuh Cukanggalih</t>
  </si>
  <si>
    <t>SALEMBARAN JAYA KOSAMBI</t>
  </si>
  <si>
    <t>60 KK</t>
  </si>
  <si>
    <t>KAMPUNG BESAR TELUK NAGA</t>
  </si>
  <si>
    <t>58 KK</t>
  </si>
  <si>
    <t>PANTAI DADAP</t>
  </si>
  <si>
    <t>49 KK</t>
  </si>
  <si>
    <t>Jalan Raya Korelet</t>
  </si>
  <si>
    <t>18 KK</t>
  </si>
  <si>
    <t>SST 36m</t>
  </si>
  <si>
    <t>PASANGGRAHAN SOLEAR</t>
  </si>
  <si>
    <t>11 KK</t>
  </si>
  <si>
    <t>Kayu Agung Sepatan</t>
  </si>
  <si>
    <t>PEMATANG TIGARAKSA</t>
  </si>
  <si>
    <t>13 KK</t>
  </si>
  <si>
    <t>5 KK</t>
  </si>
  <si>
    <t>31 KK</t>
  </si>
  <si>
    <t>41 KK</t>
  </si>
  <si>
    <t>22KK</t>
  </si>
  <si>
    <t>SUMUR BANDUNG JAYANTI</t>
  </si>
  <si>
    <t>BABAKAN ASEM TELUK NAGA</t>
  </si>
  <si>
    <t>48 KK</t>
  </si>
  <si>
    <t>BELIMBING KOSAMBI</t>
  </si>
  <si>
    <t>70 KK</t>
  </si>
  <si>
    <t>CITEUREUP BOGOR</t>
  </si>
  <si>
    <t>KAB. BOGOR</t>
  </si>
  <si>
    <t>Kamuflase Pohon 42m</t>
  </si>
  <si>
    <t>BAKTI ABRI</t>
  </si>
  <si>
    <t>BEJI KOTA DEPOK</t>
  </si>
  <si>
    <t>24 KK</t>
  </si>
  <si>
    <t>Kamuflase Pohon 32m</t>
  </si>
  <si>
    <t>TAJUR HALANG BOGOR</t>
  </si>
  <si>
    <t>29 KK</t>
  </si>
  <si>
    <t>GM 42m / SST 36</t>
  </si>
  <si>
    <t>PAMIJAHAN BOGOR</t>
  </si>
  <si>
    <t>GM 42m / Kamufalse Pohon 42m</t>
  </si>
  <si>
    <t>PANDANSARI CIAWI</t>
  </si>
  <si>
    <t>GM/SST 42</t>
  </si>
  <si>
    <t>ABDUL FATAH</t>
  </si>
  <si>
    <t>GM 42m / SST 42</t>
  </si>
  <si>
    <t>SUKARAJA CILEBUT</t>
  </si>
  <si>
    <t>BOJONG GEDE BOGOR</t>
  </si>
  <si>
    <t>32 KK</t>
  </si>
  <si>
    <t>CIOMAS BOGOR</t>
  </si>
  <si>
    <t>20 KK</t>
  </si>
  <si>
    <t>CIMANGGU 2 CIBUNGBULANG</t>
  </si>
  <si>
    <t xml:space="preserve">12 KK </t>
  </si>
  <si>
    <t>CIMANGGU 2 CIBUNGBULANG_Kand B</t>
  </si>
  <si>
    <t xml:space="preserve"> SUKARESMI TAMANSARI</t>
  </si>
  <si>
    <t>17 KK</t>
  </si>
  <si>
    <t>Pabuaran Kemang</t>
  </si>
  <si>
    <t>55 KK</t>
  </si>
  <si>
    <t>hold</t>
  </si>
  <si>
    <t xml:space="preserve">Pengasinan Gunung Sindur </t>
  </si>
  <si>
    <t>27 KK</t>
  </si>
  <si>
    <t>Pengasinan Gunung Sindur_Rev</t>
  </si>
  <si>
    <t>Pengasinan Gunung Sindur_Rev2</t>
  </si>
  <si>
    <t>CIBINONG NANGGEWER</t>
  </si>
  <si>
    <t xml:space="preserve"> JALAN RAYA PUSPITEK</t>
  </si>
  <si>
    <t>KLAPANUNGGAL CILEUNGSI</t>
  </si>
  <si>
    <t>KP PABUARAN</t>
  </si>
  <si>
    <t>14 KK</t>
  </si>
  <si>
    <t>BOGOR BARAT</t>
  </si>
  <si>
    <t>TAMBUN SELATAN BEKASI</t>
  </si>
  <si>
    <t>KAB. BEKASI</t>
  </si>
  <si>
    <t>MCP 20m</t>
  </si>
  <si>
    <t>PONDOKMELATI</t>
  </si>
  <si>
    <t>10 KK</t>
  </si>
  <si>
    <t>GM / SST 36</t>
  </si>
  <si>
    <t>JLJAWASATU</t>
  </si>
  <si>
    <t>88 KK</t>
  </si>
  <si>
    <t>MUSTIKAJAYA BEKASI</t>
  </si>
  <si>
    <t>Minaret 27m</t>
  </si>
  <si>
    <t>CIKARANG BARAT BEKASI</t>
  </si>
  <si>
    <t>19 KK</t>
  </si>
  <si>
    <t>KUTA MEGAMENDUNG</t>
  </si>
  <si>
    <t>BANJAR WANGI CIAWI</t>
  </si>
  <si>
    <t>KANTOR PUSPITEK RELOCATION</t>
  </si>
  <si>
    <t>PANGRADIN</t>
  </si>
  <si>
    <t>JALAN RAGAJAYA</t>
  </si>
  <si>
    <t>42 KK</t>
  </si>
  <si>
    <t xml:space="preserve"> BOJONGGEDE_BOGOR</t>
  </si>
  <si>
    <t>36 KK</t>
  </si>
  <si>
    <t>Sabililah Citeureup</t>
  </si>
  <si>
    <t>45 KK</t>
  </si>
  <si>
    <t>Cilliwung Pondok Rajeg</t>
  </si>
  <si>
    <t>CIBEBER BARENGKOK</t>
  </si>
  <si>
    <t>MEKARWANGI BOGOR</t>
  </si>
  <si>
    <t>PARUNG PANJANG BOGOR</t>
  </si>
  <si>
    <t>BERINGIN BATULAYANG</t>
  </si>
  <si>
    <t>50 KK</t>
  </si>
  <si>
    <t>JALAN RAYA CARIU JONGGOL</t>
  </si>
  <si>
    <t>43 KK</t>
  </si>
  <si>
    <t>PERMANENCOMBATPUSDIKRESKRIM</t>
  </si>
  <si>
    <t>CIPINANG RUMPIN BOGOR</t>
  </si>
  <si>
    <t>BABAKAN MADANG BOGOR</t>
  </si>
  <si>
    <t xml:space="preserve"> KOTA SUKABUMI</t>
  </si>
  <si>
    <t>40 KK</t>
  </si>
  <si>
    <t>PANENMAS</t>
  </si>
  <si>
    <t>SST 72m</t>
  </si>
  <si>
    <t xml:space="preserve">   577.778.043 </t>
  </si>
  <si>
    <t>PASIRMULYA</t>
  </si>
  <si>
    <t>1 KK</t>
  </si>
  <si>
    <t>RT 3m + stacking 4m + MT 25m</t>
  </si>
  <si>
    <t>DUREN MEKAR BOJONGSARI</t>
  </si>
  <si>
    <t>SERUA BOJONGSARI</t>
  </si>
  <si>
    <t>BERINDUNGAN</t>
  </si>
  <si>
    <t xml:space="preserve"> TAPOS DEPOK</t>
  </si>
  <si>
    <t>CILANGKAP TAPOS</t>
  </si>
  <si>
    <t>KEDUNG GUNUNG KALER</t>
  </si>
  <si>
    <t>SUKAMANAH TABAN</t>
  </si>
  <si>
    <t>JL RAYA CIKANDE RANGKASBITUNG</t>
  </si>
  <si>
    <t>KAB. SERANG</t>
  </si>
  <si>
    <t>CIJERUK KIBIN</t>
  </si>
  <si>
    <t>TOL SERTIM CIUJUNG</t>
  </si>
  <si>
    <t>SITUTERATECIKANDE</t>
  </si>
  <si>
    <t>TAMAN PUSPA CIKUPA</t>
  </si>
  <si>
    <t>PAMULANG PERMAI BARAT</t>
  </si>
  <si>
    <t>KOTA TANGERANG SELATAN</t>
  </si>
  <si>
    <t>MCP Non FO 20</t>
  </si>
  <si>
    <t>KOMPLEKS SASMITA LOKA PAMULANG BARAT</t>
  </si>
  <si>
    <t>20KK</t>
  </si>
  <si>
    <t>MCP Non FO 25</t>
  </si>
  <si>
    <t>Ciater Serpong</t>
  </si>
  <si>
    <t>VILLA MELATI MAS RAYA</t>
  </si>
  <si>
    <t>VILLA MELATI MAS RAYA_Rev</t>
  </si>
  <si>
    <t>Djuna Raya Pakujaya</t>
  </si>
  <si>
    <t>UNIVERSITAS TERBUKA PAMULANG</t>
  </si>
  <si>
    <t>BERANDA SERPONG</t>
  </si>
  <si>
    <t>DISCOVERY CONSERVA</t>
  </si>
  <si>
    <t>SITU GINTUNG CIREUNDEU</t>
  </si>
  <si>
    <t>7 KK</t>
  </si>
  <si>
    <t>GN RAYA CIREUNDEU</t>
  </si>
  <si>
    <t>KENANGA WALUYA</t>
  </si>
  <si>
    <t>TELUKJAMBE TIMUR</t>
  </si>
  <si>
    <t xml:space="preserve"> KARAWANG</t>
  </si>
  <si>
    <t>TELUKJAMBE TIMUR_KAND D</t>
  </si>
  <si>
    <t>BELENDUNGKLARI</t>
  </si>
  <si>
    <t>JLRAYACIKUNGKUNG</t>
  </si>
  <si>
    <t>44 KK</t>
  </si>
  <si>
    <t>PERUMAHANRESINDA</t>
  </si>
  <si>
    <t>RSU TANGERANG</t>
  </si>
  <si>
    <t xml:space="preserve">KOTA TANGERANG </t>
  </si>
  <si>
    <t>KARAWACI 850</t>
  </si>
  <si>
    <t>MT 20</t>
  </si>
  <si>
    <t>MT 25</t>
  </si>
  <si>
    <t>MCP 20 m</t>
  </si>
  <si>
    <t>Mawi Kunciran Indah</t>
  </si>
  <si>
    <t>Karang Timur Tangerang</t>
  </si>
  <si>
    <t>Elang Sawah</t>
  </si>
  <si>
    <t>MCP 25m</t>
  </si>
  <si>
    <t>PASIR JAYA JATIUWUNG</t>
  </si>
  <si>
    <t>ALAM JAYA JATIUWUNG</t>
  </si>
  <si>
    <t>Pandawa Cibodas</t>
  </si>
  <si>
    <t>SMPN 14 Tangerang</t>
  </si>
  <si>
    <t>JL KAYU PUTIH RAYA</t>
  </si>
  <si>
    <t>Kamuflase Pohon 26m</t>
  </si>
  <si>
    <t>Nyiur Pondok Kelapa</t>
  </si>
  <si>
    <t>Krama Yudha Cakung</t>
  </si>
  <si>
    <t>Menteng Lenteng Agung</t>
  </si>
  <si>
    <t>Jalan Asem Cipedak</t>
  </si>
  <si>
    <t>MCP Non FO 21</t>
  </si>
  <si>
    <t>Jalan Pemuda Cipedak</t>
  </si>
  <si>
    <t>Jalan Garuda Mas</t>
  </si>
  <si>
    <t>Kemuning Matraman_Kand E</t>
  </si>
  <si>
    <t>JLKOSTRAD</t>
  </si>
  <si>
    <t>Benda Ciganjur</t>
  </si>
  <si>
    <t>KEBONBARUTEBET</t>
  </si>
  <si>
    <t>Pegadungan Tegal Alur</t>
  </si>
  <si>
    <t>Sabar Raya Kemajuan</t>
  </si>
  <si>
    <t>PERMANENCOMBATTERMPENUMPANG</t>
  </si>
  <si>
    <t>PERMANENCOMBATKEPANDUANPELINDO</t>
  </si>
  <si>
    <t>Tol Pelabuhan Ancol</t>
  </si>
  <si>
    <t>POLE</t>
  </si>
  <si>
    <t>6m</t>
  </si>
  <si>
    <t>Pole 6m</t>
  </si>
  <si>
    <t>SITU COGARONGSONG PENGASINAN</t>
  </si>
  <si>
    <t>6 KK</t>
  </si>
  <si>
    <t>KOTA JAKARTA UTARA</t>
  </si>
  <si>
    <t>MCP NON FO 20</t>
  </si>
  <si>
    <t>SITE ID OPERATOR 2</t>
  </si>
  <si>
    <t>So Numb</t>
  </si>
  <si>
    <t>Site ID TBG</t>
  </si>
  <si>
    <t>Operator</t>
  </si>
  <si>
    <t>Company</t>
  </si>
  <si>
    <t>Longitude</t>
  </si>
  <si>
    <t>Latitude</t>
  </si>
  <si>
    <t>Tower height</t>
  </si>
  <si>
    <t>PIC Mitra</t>
  </si>
  <si>
    <t>PIC TBG</t>
  </si>
  <si>
    <t>NAMA MITRA</t>
  </si>
  <si>
    <t>SMARTFREN</t>
  </si>
  <si>
    <t>106.47349</t>
  </si>
  <si>
    <t>-6.22917</t>
  </si>
  <si>
    <t>JABODETABEK OUTER</t>
  </si>
  <si>
    <t xml:space="preserve">Jalan Jayasantika Desa pasir Nangka Kec. Tigaraksa </t>
  </si>
  <si>
    <t>KAB TANGERANG</t>
  </si>
  <si>
    <t>32 m</t>
  </si>
  <si>
    <t>23055072231</t>
  </si>
  <si>
    <t>131701123</t>
  </si>
  <si>
    <t>JAK1040</t>
  </si>
  <si>
    <t>106.636430°</t>
  </si>
  <si>
    <t xml:space="preserve"> -6.081660°</t>
  </si>
  <si>
    <t>Kp Kalor Kohod RT 01 RW 05 Desa Gaga Kec. Pakishaji Kab. Tangerang</t>
  </si>
  <si>
    <t>42 m</t>
  </si>
  <si>
    <t>106.89954</t>
  </si>
  <si>
    <t>-6.4982</t>
  </si>
  <si>
    <t>Jp Tonggoh RT 03 RW 01 Kel Gunungsari Kec. Citeureup Kab. Bogor</t>
  </si>
  <si>
    <t>KAB BOGOR</t>
  </si>
  <si>
    <t>Imam : 081383932662</t>
  </si>
  <si>
    <t>Adit : 0895392876255</t>
  </si>
  <si>
    <t>BAKTIABRI</t>
  </si>
  <si>
    <t>INDOSAT</t>
  </si>
  <si>
    <t>106.878880°</t>
  </si>
  <si>
    <t>-6.414510°</t>
  </si>
  <si>
    <t>JABODETABEK INNER</t>
  </si>
  <si>
    <t>Jl Bakti Abri Kel Sukamaju Kec Tapos Kota Depok</t>
  </si>
  <si>
    <t>Ridwan : 081317600620</t>
  </si>
  <si>
    <t>JAK0743</t>
  </si>
  <si>
    <t>G</t>
  </si>
  <si>
    <t>106,81202</t>
  </si>
  <si>
    <t>-6.37447</t>
  </si>
  <si>
    <t>Jl Sawo I RT 005 RW 05 Kel Beji Kec Beji Kota Depok</t>
  </si>
  <si>
    <t>Jabo_Outer_add_024</t>
  </si>
  <si>
    <t>106.74626</t>
  </si>
  <si>
    <t>-6.45157</t>
  </si>
  <si>
    <t>Komp Inkopad  Blok D 16/13 RT 09 RW 05 Kel Sasakpanjang Kec Tajurhalang Kab Bogor</t>
  </si>
  <si>
    <t>36 m</t>
  </si>
  <si>
    <t>Jabo_Outer_add_023</t>
  </si>
  <si>
    <t>106.67167</t>
  </si>
  <si>
    <t xml:space="preserve">-6.63600 </t>
  </si>
  <si>
    <t>Kp Pasir Datar RT 01 RW 06 Desa Cibening Kec. Pamijahan Kab. Bogor</t>
  </si>
  <si>
    <t>23055088231</t>
  </si>
  <si>
    <t>125967123</t>
  </si>
  <si>
    <t>BOG0119</t>
  </si>
  <si>
    <t>106.695640°</t>
  </si>
  <si>
    <t xml:space="preserve"> -6.647070°</t>
  </si>
  <si>
    <t>Kp Tapos Udik RT 01 RW 02 Desa Tapos I Kec. Tenjolaya</t>
  </si>
  <si>
    <t>Donny : 08119018899</t>
  </si>
  <si>
    <t>02RKB025</t>
  </si>
  <si>
    <t>KP_PABUARAN</t>
  </si>
  <si>
    <t>106.78091</t>
  </si>
  <si>
    <t>-6.53303</t>
  </si>
  <si>
    <t xml:space="preserve">Kp. Rawataman RT.001 RW.003 Kelurahan Mekarwangi Kecamatan Tanah Sareal Kota Bogor </t>
  </si>
  <si>
    <t>Erdi : +62 896-6161-7384</t>
  </si>
  <si>
    <t>23055075231</t>
  </si>
  <si>
    <t>125964123</t>
  </si>
  <si>
    <t>BOG0175</t>
  </si>
  <si>
    <t xml:space="preserve">106.84496 </t>
  </si>
  <si>
    <t>-6.63563</t>
  </si>
  <si>
    <t>Kp. Sinabeul RT 01 RW 02 Desa Cibanon Kec. Sukaraja Kab. Bogor</t>
  </si>
  <si>
    <t>Didik : 0817141234</t>
  </si>
  <si>
    <t>125966123</t>
  </si>
  <si>
    <t>BOG0064</t>
  </si>
  <si>
    <t>106.79885</t>
  </si>
  <si>
    <t>-6.52195</t>
  </si>
  <si>
    <t>Kp. Bojong Simpu RT 3 RW 6 Kel. Cilebut Barat Kec. Sukaraja Kab. Bogor</t>
  </si>
  <si>
    <t>Ronal : 0823-2222-8333</t>
  </si>
  <si>
    <t>BOG0142</t>
  </si>
  <si>
    <t>106.76167</t>
  </si>
  <si>
    <t>-6.60399</t>
  </si>
  <si>
    <t xml:space="preserve">Kp Sukamanah RT 03 RW 03 Desa Pagelaran Kec Ciomas </t>
  </si>
  <si>
    <t>Heri : +62 813-8022-5151</t>
  </si>
  <si>
    <t>23055089231</t>
  </si>
  <si>
    <t>125968123</t>
  </si>
  <si>
    <t>BOG0055</t>
  </si>
  <si>
    <t>106.82498</t>
  </si>
  <si>
    <t>-6.51957</t>
  </si>
  <si>
    <t xml:space="preserve">Jalan Pramuka RT 01 RW 08 Kelurahan Nanggewer Kecamatan Cibinong </t>
  </si>
  <si>
    <t>BOG0136</t>
  </si>
  <si>
    <t>106.74019</t>
  </si>
  <si>
    <t>-6.56033</t>
  </si>
  <si>
    <t>Jalan Babakan Lio RT 05 RW 11 Kel. Belimbing jaya Kec. Bogor Barat Kota Bogor</t>
  </si>
  <si>
    <t>Dani : 081320217971</t>
  </si>
  <si>
    <t>JAK0266</t>
  </si>
  <si>
    <t>107.07726</t>
  </si>
  <si>
    <t>-6.23244</t>
  </si>
  <si>
    <t>Jalan Mekar Jaya Kel. Sumberjaya Kec. Tambun Selatan Kab Bekasi</t>
  </si>
  <si>
    <t>20 m</t>
  </si>
  <si>
    <t>JAK0292</t>
  </si>
  <si>
    <t>107.11301</t>
  </si>
  <si>
    <t>-6.28242</t>
  </si>
  <si>
    <t>Jalan Cikarang Kel. Sukadanau Kec. Cikarang Barat, Kab Bekasi</t>
  </si>
  <si>
    <t>JAW-BT-TGR-0030</t>
  </si>
  <si>
    <t>106°26'45.1"E</t>
  </si>
  <si>
    <t>6°08'45.2"S</t>
  </si>
  <si>
    <t>Jalan Raya Kukun Daun Kp Benda RT 01 RW 02 Desa Benda Kec. Sukamulya Kab. Tangerang</t>
  </si>
  <si>
    <t>52 m</t>
  </si>
  <si>
    <t>soil test done</t>
  </si>
  <si>
    <t>23055068231</t>
  </si>
  <si>
    <t>125962123</t>
  </si>
  <si>
    <t>JAK0633</t>
  </si>
  <si>
    <t>106.924430°</t>
  </si>
  <si>
    <t xml:space="preserve"> -6.317000°</t>
  </si>
  <si>
    <t>Jalan Raya Hankam GangH. Kunyil RT 04 RW 05 Kel. Jati Melati Kec. Pondok Melati Kota Bekasi</t>
  </si>
  <si>
    <t>JAW-BT-TGR-0032</t>
  </si>
  <si>
    <t>Serang Cikande</t>
  </si>
  <si>
    <t xml:space="preserve">106°22'58.6"E </t>
  </si>
  <si>
    <t>6°11'11.8"S</t>
  </si>
  <si>
    <t>Kp Babakan RT 12 RW 02 Desa Pasir Gintung Kec. Jayanti Kab. Tangerang</t>
  </si>
  <si>
    <t>1317551003</t>
  </si>
  <si>
    <t>JAW-BT-TGR-0026</t>
  </si>
  <si>
    <t>Cirumpak Tangerang</t>
  </si>
  <si>
    <t xml:space="preserve">106°26'15.85"E </t>
  </si>
  <si>
    <t>6°06'15.41"S</t>
  </si>
  <si>
    <t>Kp Pasir RT 06 RW 03 Desa Pasir Kec. Kronjo Kab. Tangerang</t>
  </si>
  <si>
    <t>1317541003</t>
  </si>
  <si>
    <t>JAW-BT-TGR-0025</t>
  </si>
  <si>
    <t>Patrasana Kresek</t>
  </si>
  <si>
    <t xml:space="preserve">106°24'12.1"E </t>
  </si>
  <si>
    <t>6°09'18.3"S</t>
  </si>
  <si>
    <t>Jalan Raya Kresek RT 01 RW 01 Desa Patrasana Kec. Kresek Kab, Tangerang</t>
  </si>
  <si>
    <t>1317521003</t>
  </si>
  <si>
    <t>JAW-BT-TGR-0051</t>
  </si>
  <si>
    <t>Stasiun Cikoya</t>
  </si>
  <si>
    <t xml:space="preserve">106°24'45.01" E </t>
  </si>
  <si>
    <t>-6°20'5.57"S</t>
  </si>
  <si>
    <t>Jalan Raya Maja, Kp Solear RT 02 RW 01 Desa Cikasungka Kec. Solear Kab. Tangerang</t>
  </si>
  <si>
    <t>1317391003</t>
  </si>
  <si>
    <t>JAW-BT-TGR-0021</t>
  </si>
  <si>
    <t>Mekar Wangi Tangerang</t>
  </si>
  <si>
    <t>106°35'27.4"E</t>
  </si>
  <si>
    <t xml:space="preserve">  6°20'47.1"S</t>
  </si>
  <si>
    <t>Kp Panyirapan RT 08 RW 04 Desa Mekarwangi Kec. Cisauk kab. Tangerang</t>
  </si>
  <si>
    <t>Sugianto : 0812-9590-3552</t>
  </si>
  <si>
    <t>1317561003</t>
  </si>
  <si>
    <t>JAW-BT-TGR-0040</t>
  </si>
  <si>
    <t>Cibugel Cisoka</t>
  </si>
  <si>
    <t>106°25'21.25" E</t>
  </si>
  <si>
    <t>-6°14'59.82"S</t>
  </si>
  <si>
    <t>Kp Cibugel RT 09 RW 04 Desa Cibugel Kec. Cisoka Kab. Tangerang</t>
  </si>
  <si>
    <t>0230575310231</t>
  </si>
  <si>
    <t>1317871023</t>
  </si>
  <si>
    <t>ZJKT2_5027</t>
  </si>
  <si>
    <t>106.5444</t>
  </si>
  <si>
    <t>-6.267013</t>
  </si>
  <si>
    <t>Kp. Ciakar RT. 04 RW. 01 Desa Ciakar Kec. Panongan</t>
  </si>
  <si>
    <t>32m</t>
  </si>
  <si>
    <t>0230560370231</t>
  </si>
  <si>
    <t>1260581023</t>
  </si>
  <si>
    <t>JAK0589</t>
  </si>
  <si>
    <t>107.29108</t>
  </si>
  <si>
    <t>-6.33465</t>
  </si>
  <si>
    <t>Kp. Kalipandan RT. 02 RW. 01 Desa Sukaluyu Kec.Teluk Jambe Timur, Kab. Karawang</t>
  </si>
  <si>
    <t xml:space="preserve"> JAWA BARAT</t>
  </si>
  <si>
    <t>Handri : 081297986667</t>
  </si>
  <si>
    <t>03BKS499</t>
  </si>
  <si>
    <t>Kp Rawa Aren RT 07 RW 12 Kel. Rawa Aren Kec. Bekasi Timur Kota Bekasi</t>
  </si>
  <si>
    <t>Angga : 0812-9033-7872</t>
  </si>
  <si>
    <t>Fadhil : 0816-1479-766</t>
  </si>
  <si>
    <t>JAW-JB-CBI-0082</t>
  </si>
  <si>
    <t>Pengasinan Gunung Sindur</t>
  </si>
  <si>
    <t>106.692267°</t>
  </si>
  <si>
    <t xml:space="preserve"> -6.376572°</t>
  </si>
  <si>
    <t>Kp Kebon Kopi RT. 05 RW. 06 Kel. Pengasinan Kec. Gunung Sindur, Kab. Bogor</t>
  </si>
  <si>
    <t>Sam : 087774724777</t>
  </si>
  <si>
    <t>BOG0140</t>
  </si>
  <si>
    <t>ZJKT2_4241</t>
  </si>
  <si>
    <t>JAW-BT-TGR-0031</t>
  </si>
  <si>
    <t>JAW-BT-TGR-0049</t>
  </si>
  <si>
    <t>ZJKT2_6065</t>
  </si>
  <si>
    <t>ZBGR_4670</t>
  </si>
  <si>
    <t xml:space="preserve">Kp. Cibungbulang, Blok 4, RT.5/3, Desa Cimanggu II, Kec. Cibungbulang, Kab.Bogor </t>
  </si>
  <si>
    <t>Hold</t>
  </si>
  <si>
    <t>ZBGR_4671</t>
  </si>
  <si>
    <t>ZJKT2_5971</t>
  </si>
  <si>
    <t>ready</t>
  </si>
  <si>
    <t>ZJKT2_6101</t>
  </si>
  <si>
    <t>JAW-BT-TGR-0029</t>
  </si>
  <si>
    <t>JAW-JB-CBI-0066</t>
  </si>
  <si>
    <t>JAW-JB-CBI-0071</t>
  </si>
  <si>
    <t>JAW-JB-CBI-0063</t>
  </si>
  <si>
    <t>done send</t>
  </si>
  <si>
    <t>JAW-BT-TGR-0024</t>
  </si>
  <si>
    <t>Teguh :0852 7321 1366</t>
  </si>
  <si>
    <t>JAW-BT-TGR-0027</t>
  </si>
  <si>
    <t>ZJKT2_4258</t>
  </si>
  <si>
    <t>Figur :08561065681 / 0811879600</t>
  </si>
  <si>
    <t>PT. GNJ</t>
  </si>
  <si>
    <t>SKB904</t>
  </si>
  <si>
    <t xml:space="preserve"> 0010587860011</t>
  </si>
  <si>
    <t>-6.94016</t>
  </si>
  <si>
    <t>Kp. Sukasari RT. 01 RW. 08 Desa Dayeuhluhur Kec. Warudoyong Kota Sukabumi</t>
  </si>
  <si>
    <t>KOTA SUKABUMI</t>
  </si>
  <si>
    <t>PT. BNP</t>
  </si>
  <si>
    <t>TGR529</t>
  </si>
  <si>
    <t>KRW198</t>
  </si>
  <si>
    <t>Teguh :0813-8824-1444</t>
  </si>
  <si>
    <t>JAW-JB-CBI-0068</t>
  </si>
  <si>
    <t>KRW224</t>
  </si>
  <si>
    <t>ZJKT2_6092</t>
  </si>
  <si>
    <t>TGR523</t>
  </si>
  <si>
    <t>Beni : 087777366007</t>
  </si>
  <si>
    <t>JAW-JB-CBI-0086</t>
  </si>
  <si>
    <t>PT. DSR</t>
  </si>
  <si>
    <t>ZJKT2_4373</t>
  </si>
  <si>
    <t>JAW-BT-TGR-0042</t>
  </si>
  <si>
    <t>John : +62 813-8984-7599</t>
  </si>
  <si>
    <t>done</t>
  </si>
  <si>
    <t>JAW-JK-KYB-0102</t>
  </si>
  <si>
    <t>ZJKT_5207</t>
  </si>
  <si>
    <t>ZJKT2_6038</t>
  </si>
  <si>
    <t>PT. Lintas Banyu Lestari</t>
  </si>
  <si>
    <t>SKB144</t>
  </si>
  <si>
    <t>JAW-BT-CPT-0461</t>
  </si>
  <si>
    <t>JAW-JK-KYB-0027</t>
  </si>
  <si>
    <t>JAW-BT-TGR-0023</t>
  </si>
  <si>
    <t>JAW-BT-TGR-0043</t>
  </si>
  <si>
    <t>PT. MKI</t>
  </si>
  <si>
    <t>JUX569</t>
  </si>
  <si>
    <t>JUX583</t>
  </si>
  <si>
    <t>Fahmi : 08119146116</t>
  </si>
  <si>
    <t>KRW238</t>
  </si>
  <si>
    <t>JAW-BT-CPT-0451</t>
  </si>
  <si>
    <t>JAW-JK-KYB-0097</t>
  </si>
  <si>
    <t>JAW-JK-GGP-0529</t>
  </si>
  <si>
    <t>CBN552</t>
  </si>
  <si>
    <t>JAW-JK-CKG-0666</t>
  </si>
  <si>
    <t>Kemuning Matraman</t>
  </si>
  <si>
    <t>-6.19742</t>
  </si>
  <si>
    <t>Jl. Kemuning II RT. 04 RW. 04 Kel. Utan Kayu Utara Kec. Matraman, Jakarta Timur</t>
  </si>
  <si>
    <t>DKI Jakarta</t>
  </si>
  <si>
    <t>JAW-BT-TGR-0045</t>
  </si>
  <si>
    <t>Imam : 081232101679</t>
  </si>
  <si>
    <t>JAW-BT-CPT-0460</t>
  </si>
  <si>
    <t>JAW-JK-KYB-0096</t>
  </si>
  <si>
    <t>ZJKT2_4537</t>
  </si>
  <si>
    <t>Dibang : 081314245585</t>
  </si>
  <si>
    <t>ZJKT2_5966</t>
  </si>
  <si>
    <t>ZJKT2_5014</t>
  </si>
  <si>
    <t>JAW-BT-TGR-0044</t>
  </si>
  <si>
    <t>JAW-JK-CKG-0662</t>
  </si>
  <si>
    <t>JAW-JK-KYB-0098</t>
  </si>
  <si>
    <t>JAW-BT-CPT-0473</t>
  </si>
  <si>
    <t>JAW-JB-CBI-0084</t>
  </si>
  <si>
    <t>JAW-JB-CBI-0085</t>
  </si>
  <si>
    <t>JAW-JB-BGR-0213</t>
  </si>
  <si>
    <t>JAW-BT-CPT-0463</t>
  </si>
  <si>
    <t>JAW-BT-TGR-0041</t>
  </si>
  <si>
    <t>PT. mandirainfratripakarti</t>
  </si>
  <si>
    <t>JAW-BT-CPT-0465</t>
  </si>
  <si>
    <t>JAW-BT-TGR-0028</t>
  </si>
  <si>
    <t>JAW-BT-TNG-1470</t>
  </si>
  <si>
    <t>JAW-JK-KYB-0103</t>
  </si>
  <si>
    <t>JAW-BT-TNG-1450</t>
  </si>
  <si>
    <t>Fahrudin : 081318328292</t>
  </si>
  <si>
    <t>JAW-JB-BGR-0214</t>
  </si>
  <si>
    <t>JAW-JB-BGR-0220</t>
  </si>
  <si>
    <t>JAW-BT-CPT-0469</t>
  </si>
  <si>
    <t>JAW-JB-BGR-0223</t>
  </si>
  <si>
    <t>JAW-BT-TNG-1492</t>
  </si>
  <si>
    <t>JAW-BT-CPT-0468</t>
  </si>
  <si>
    <t>JAW-BT-CPT-0467</t>
  </si>
  <si>
    <t>JAW-JK-TJP-0622</t>
  </si>
  <si>
    <t>JAW-JB-BGR-0224</t>
  </si>
  <si>
    <t>JAW-JK-CKG-0665</t>
  </si>
  <si>
    <t>JAW-BT-TNG-1464</t>
  </si>
  <si>
    <t>JAW-BT-TNG-1452</t>
  </si>
  <si>
    <t>JAW-JB-BGR-0210</t>
  </si>
  <si>
    <t>Beringin Batulayang</t>
  </si>
  <si>
    <t>Kp. Batu kasur RT. 02 RW. 03 Kel. Batulayang Kec. Cisarua Kab. Bogor</t>
  </si>
  <si>
    <t>JAW-BT-TNG-1465</t>
  </si>
  <si>
    <t>Ali : 085281006542</t>
  </si>
  <si>
    <t>SRG261</t>
  </si>
  <si>
    <t>JAW-BT-TNG-1456</t>
  </si>
  <si>
    <t xml:space="preserve"> JAW-JK-TJP-0679</t>
  </si>
  <si>
    <t>JSX825</t>
  </si>
  <si>
    <t xml:space="preserve"> JAW-JB-BGR-0222</t>
  </si>
  <si>
    <t>JSX900</t>
  </si>
  <si>
    <t>70JT</t>
  </si>
  <si>
    <t>Roof top MT</t>
  </si>
  <si>
    <t>30JT</t>
  </si>
  <si>
    <t>100JT</t>
  </si>
  <si>
    <t>Last Update</t>
  </si>
  <si>
    <t>Validasi OK</t>
  </si>
  <si>
    <t>SUBMIT</t>
  </si>
  <si>
    <t>OPERATOR</t>
  </si>
  <si>
    <t>IW</t>
  </si>
  <si>
    <t>HARGA ESKALASI SITAC</t>
  </si>
  <si>
    <t>TOTAL Pengajuan tanpa IW</t>
  </si>
  <si>
    <t>KONFIRMASI HARGA ESKALASI</t>
  </si>
  <si>
    <t>NEED FU</t>
  </si>
  <si>
    <t>SUPER SOIL</t>
  </si>
  <si>
    <t>update ESKALASI</t>
  </si>
  <si>
    <t>IW clear ( 12 KK )  hrg Ban 17jt/thn, skema pembayaran 5,5,5,5</t>
  </si>
  <si>
    <t>Candidat A</t>
  </si>
  <si>
    <t>BNP</t>
  </si>
  <si>
    <t>ESKALASI APPROVED</t>
  </si>
  <si>
    <t>16.03.2020 Eskalasi approved, done share mitra
Submit 13.03.2020</t>
  </si>
  <si>
    <t>SUKARESMI TAMANSARI</t>
  </si>
  <si>
    <t>IW Clear hrg ban 15jt/thn skema pembayaran 5,5,5,5,</t>
  </si>
  <si>
    <t>KARET SEPATAN</t>
  </si>
  <si>
    <t>17.000.000(34KK@500.000)</t>
  </si>
  <si>
    <t>OK, PRICE</t>
  </si>
  <si>
    <t>16.03.2020 Eskalasi approved, done share mitra
16.03.2020 done email to ARO</t>
  </si>
  <si>
    <t>Dayeuhluhurwarudoyong</t>
  </si>
  <si>
    <t>13.400.000 (18KK @500.000 &amp;  22KK  @Rp.200.000)</t>
  </si>
  <si>
    <r>
      <rPr>
        <b/>
        <sz val="11"/>
        <rFont val="Calibri"/>
        <family val="2"/>
        <scheme val="minor"/>
      </rPr>
      <t>26.03.2020 Eskalasi approved aro, done send to mitra and req soil test
24. 03. 2020 submit eskalasi to aro</t>
    </r>
    <r>
      <rPr>
        <b/>
        <sz val="11"/>
        <color rgb="FFFF0000"/>
        <rFont val="Calibri"/>
        <family val="2"/>
        <scheme val="minor"/>
      </rPr>
      <t xml:space="preserve">
Need Nego BAN, need surat pernyataan soil test</t>
    </r>
  </si>
  <si>
    <t>Gempolsarisepatantimurbanten</t>
  </si>
  <si>
    <t>8.000.000 ( 16KK,  @Rp.500.000)</t>
  </si>
  <si>
    <r>
      <rPr>
        <b/>
        <sz val="11"/>
        <rFont val="Calibri"/>
        <family val="2"/>
        <scheme val="minor"/>
      </rPr>
      <t xml:space="preserve"> Eskalasi approved aro, done send to mitra and req soil test
24. 03. 2020 submit eskalasi to aro</t>
    </r>
    <r>
      <rPr>
        <b/>
        <sz val="11"/>
        <color rgb="FFFF0000"/>
        <rFont val="Calibri"/>
        <family val="2"/>
        <scheme val="minor"/>
      </rPr>
      <t xml:space="preserve">
Need konfirmasi IW dan Surat pernyataan ready to soil</t>
    </r>
  </si>
  <si>
    <t>DSR</t>
  </si>
  <si>
    <t>Warga Radius 1 (6) @ 1.000.000,-
Warga Radius 2 (10) @ 500.000,-
Warga Radius 3 (39) @ 300.000,-</t>
  </si>
  <si>
    <t>18.03.2020 Eskalasi approved, done share mitra
18.03.2020 Eskalasi submit to ARO</t>
  </si>
  <si>
    <t>TAPOS DEPOK</t>
  </si>
  <si>
    <t>GNJ</t>
  </si>
  <si>
    <t>15.000.000(15KK@1.000.000)</t>
  </si>
  <si>
    <t>23.03.2020 Eskalasi approved
23.03.2020 Eskalasi submit to aro</t>
  </si>
  <si>
    <t>MKI</t>
  </si>
  <si>
    <t>24.000.000(48KK @500.000)</t>
  </si>
  <si>
    <t>12.4.2020 Eskalasi submit to AR0
31.03.2020 lokasi site berpindah mundur ttp masih di lahan LL yg sama need Revalidasi
31.03.2020 Eskalasi turun dari 100500000 menjadi 98500000
17.03.2020 Eskalasi turun 2jt need revisi eskalasi sitac Need bukti BAN dan IW
High price need Nego, Need bukti BAN dan IW</t>
  </si>
  <si>
    <t>ny</t>
  </si>
  <si>
    <t>MIT</t>
  </si>
  <si>
    <t>6.500.000(13@500.000)</t>
  </si>
  <si>
    <t xml:space="preserve">       86.000.000 </t>
  </si>
  <si>
    <r>
      <rPr>
        <sz val="11"/>
        <rFont val="Calibri"/>
        <family val="2"/>
        <scheme val="minor"/>
      </rPr>
      <t>16.03.2020 Eskalasi approved, done share mitra
16.03.2020 done email to ARO</t>
    </r>
    <r>
      <rPr>
        <sz val="11"/>
        <color rgb="FFFF0000"/>
        <rFont val="Calibri"/>
        <family val="2"/>
        <scheme val="minor"/>
      </rPr>
      <t xml:space="preserve">
</t>
    </r>
    <r>
      <rPr>
        <sz val="11"/>
        <rFont val="Calibri"/>
        <family val="2"/>
        <scheme val="minor"/>
      </rPr>
      <t>13.03.2020</t>
    </r>
    <r>
      <rPr>
        <sz val="11"/>
        <color rgb="FFFF0000"/>
        <rFont val="Calibri"/>
        <family val="2"/>
        <scheme val="minor"/>
      </rPr>
      <t xml:space="preserve"> Need Konfirmasi IW 2 KK, </t>
    </r>
    <r>
      <rPr>
        <sz val="11"/>
        <rFont val="Calibri"/>
        <family val="2"/>
        <scheme val="minor"/>
      </rPr>
      <t>BAN 20JT</t>
    </r>
  </si>
  <si>
    <t>SOLEAR BANTEN</t>
  </si>
  <si>
    <t>5.000.000(5kk@1.000.000)</t>
  </si>
  <si>
    <r>
      <rPr>
        <sz val="11"/>
        <rFont val="Calibri"/>
        <family val="2"/>
        <scheme val="minor"/>
      </rPr>
      <t>16.03.2020 Eskalasi approved, done share mitra
16.03.2020 done email to ARO</t>
    </r>
    <r>
      <rPr>
        <sz val="11"/>
        <color rgb="FFFF0000"/>
        <rFont val="Calibri"/>
        <family val="2"/>
        <scheme val="minor"/>
      </rPr>
      <t xml:space="preserve">
</t>
    </r>
    <r>
      <rPr>
        <sz val="11"/>
        <rFont val="Calibri"/>
        <family val="2"/>
        <scheme val="minor"/>
      </rPr>
      <t>13.03.2020</t>
    </r>
    <r>
      <rPr>
        <sz val="11"/>
        <color rgb="FFFF0000"/>
        <rFont val="Calibri"/>
        <family val="2"/>
        <scheme val="minor"/>
      </rPr>
      <t xml:space="preserve"> Neew konfirmasi fasum fasos 9jt atau 5jt, BAN 19JT, </t>
    </r>
    <r>
      <rPr>
        <sz val="11"/>
        <rFont val="Calibri"/>
        <family val="2"/>
        <scheme val="minor"/>
      </rPr>
      <t>IW OK</t>
    </r>
  </si>
  <si>
    <t>4.000.000( 8KK@ 500.000)</t>
  </si>
  <si>
    <t>23.03.2020 eskalasi approved, done send mitra
20.03.2020 Done submit eskalasi to ARO
20.03.2020 Mitra submit eskalasi</t>
  </si>
  <si>
    <t xml:space="preserve">    10.500.000 (21 KK@500.000)</t>
  </si>
  <si>
    <t>SITE AKAN DI REHUNTING</t>
  </si>
  <si>
    <t>28.500.000 (57KK@500.000)</t>
  </si>
  <si>
    <t>NOK HIGH PRICE</t>
  </si>
  <si>
    <t>High price need Nego, Need bukti BAN dan IW</t>
  </si>
  <si>
    <t>TEGAL ALUR KALI DERES</t>
  </si>
  <si>
    <t>KLS</t>
  </si>
  <si>
    <t>Eskalasi approved</t>
  </si>
  <si>
    <t>PO LUMPSUM</t>
  </si>
  <si>
    <t>8.5.2020 Perubahan skema BAN 11thn
4.14.2020 Eskalasi submit to ARO</t>
  </si>
  <si>
    <t>PABUARAN KEMANG</t>
  </si>
  <si>
    <t>BA 25JT, Eskalasi sitac 105.500.000</t>
  </si>
  <si>
    <t>ORLIE</t>
  </si>
  <si>
    <t>16.000.000</t>
  </si>
  <si>
    <r>
      <rPr>
        <sz val="11"/>
        <rFont val="Calibri"/>
        <family val="2"/>
        <scheme val="minor"/>
      </rPr>
      <t>16.03.2020 Eskalasi approved, done share mitra
16.03.2020 Ban update 20jt, eskalasi done submit to aro</t>
    </r>
    <r>
      <rPr>
        <sz val="11"/>
        <color rgb="FFFF0000"/>
        <rFont val="Calibri"/>
        <family val="2"/>
        <scheme val="minor"/>
      </rPr>
      <t xml:space="preserve">
Ban 25 jt need nego ban</t>
    </r>
  </si>
  <si>
    <t xml:space="preserve">Pasir Mukti Citereup </t>
  </si>
  <si>
    <r>
      <rPr>
        <sz val="11"/>
        <rFont val="Calibri"/>
        <family val="2"/>
        <scheme val="minor"/>
      </rPr>
      <t>16.03.2020 Eskalasi approved, done share mitra
16.03.2020 Done submit eskalasi to ARO, Ban update 20jt</t>
    </r>
    <r>
      <rPr>
        <sz val="11"/>
        <color rgb="FFFF0000"/>
        <rFont val="Calibri"/>
        <family val="2"/>
        <scheme val="minor"/>
      </rPr>
      <t xml:space="preserve">
BAN Mahal (21jt) Need Nego,</t>
    </r>
  </si>
  <si>
    <t>Klapanunggal Cileungsi</t>
  </si>
  <si>
    <t>BAN 19jt, IW clear</t>
  </si>
  <si>
    <t>Candidat C</t>
  </si>
  <si>
    <t>Orlie</t>
  </si>
  <si>
    <t>31.3.2020 Eskalasi approved
30.3.2020 Submit eskalasi to ARO
26.03.2020 Need Konfirmasi IW, eskalasi akan di revisi sejumlah 29KK
26.03.2020 TX OK,
19.03.2020, hasil validasi RX OK, Need hasil validasi TX
Need Hasil validasi done submit 12.03.2020</t>
  </si>
  <si>
    <t>BOJONG GEDE_BOGOR</t>
  </si>
  <si>
    <t xml:space="preserve">36KK @ 650,000 </t>
  </si>
  <si>
    <t>23.03.2020 Eskalasi approved
19.03.2020 Done submit eskalasi to ARO</t>
  </si>
  <si>
    <t>39.250.000 ( 25KK @ 1.000.000, 19KK @ 750.000)</t>
  </si>
  <si>
    <t>31.3.2020 Eskalasi approved
30.3.2020 Submit eskalasi to ARO
30.3.2020 harga awal 110750000 turun menjadi 98250000
20.03.2020 Mitra submit Eskalasi, NOK high price need nego harga eskalasi &lt;100.000.000</t>
  </si>
  <si>
    <t>Blendungklari TBG</t>
  </si>
  <si>
    <t>20.000.000 (40KK @ 500.000)</t>
  </si>
  <si>
    <t>26.03.2020 eskalasi done approved, done send ke mitra
26.03.2020 Eskalasi submit to ARO
Need konfirmasi IW dan Surat pernyataan ready to soil</t>
  </si>
  <si>
    <t xml:space="preserve">4.14.2020 Eskalasi submit to ARO </t>
  </si>
  <si>
    <t>Turangga</t>
  </si>
  <si>
    <t>19.500.000 (26KK @ 750.000)</t>
  </si>
  <si>
    <t>NOK HIGH PRICE(MCP)</t>
  </si>
  <si>
    <t>Need bukti  IW dan BAN (30Jt) need nego 15jt , nego eskalasi ban 60jt</t>
  </si>
  <si>
    <t>16.04.2020 Eskalasi submit to ARO</t>
  </si>
  <si>
    <t>Sumur Bandung Jayati</t>
  </si>
  <si>
    <t>7.500.000 (15 @500.000)</t>
  </si>
  <si>
    <t>31.3.2020 Eskalasi approved
30.3.2020 Submit eskalasi to ARO
IW kurang jelas  terdapat warga yg belum ttd di IW dan super soil</t>
  </si>
  <si>
    <t>13.000.000</t>
  </si>
  <si>
    <t>9.4.2020 Eskalasi approved
7.4.2020 ESKALASI SUBMIT TO ARO</t>
  </si>
  <si>
    <t>ESKALASI SUBMIT TO ARO (After W2 May)</t>
  </si>
  <si>
    <t>15.000.000 (30 @500.000)</t>
  </si>
  <si>
    <t>Site termasuk out WK 2 mei
2.4.2020 Eskalasi submit to ARO
30.3.2020 jumlah KK di IW dan di eskalasi berbeda di Form IW 35 KK, di esklasi 30KK
Need IW dan Surat pernyataan ready to soil</t>
  </si>
  <si>
    <t>Mustikajaya Bekasi</t>
  </si>
  <si>
    <t>26.600.000 (38 @700.000)</t>
  </si>
  <si>
    <t>8.4.2020 Eskalasi submit to ARO
7.4.2020 NEED BAN 20JT (10 THN, 5 -5)</t>
  </si>
  <si>
    <t>18.000.000</t>
  </si>
  <si>
    <t>30.4.2020 Eskalasi submit to aro, nilai eskalasi sudah turun 2jt dari 99.500.000</t>
  </si>
  <si>
    <t>Situ Cogarongsong Pengasinan</t>
  </si>
  <si>
    <t>21.500.000</t>
  </si>
  <si>
    <t>9.4.2020 Eskalasi approved
8.4.2020 Eskalasi submit to aro</t>
  </si>
  <si>
    <t>Revisi_Approval Eskalasi Mekar Wangi Tangerang (Perubahan BAN)</t>
  </si>
  <si>
    <t>ARENAS</t>
  </si>
  <si>
    <t>7.500.000</t>
  </si>
  <si>
    <t>4.14.2020 Eskalasi approved BAN sebelumnya 20jt menjadi 15jt</t>
  </si>
  <si>
    <t>LBL</t>
  </si>
  <si>
    <t xml:space="preserve">NEED FOLLOW UP </t>
  </si>
  <si>
    <t xml:space="preserve">14.4.2020 Need revalidasi ketinggian 25m 
</t>
  </si>
  <si>
    <t>DATATEL</t>
  </si>
  <si>
    <t>8.000.000</t>
  </si>
  <si>
    <t>4.15.2020 Eskalasi approved
4.14.2020 Eskalasi submit to ARO,revisi penambahan IW senilai 6 jt</t>
  </si>
  <si>
    <t>14.4.2020 Need FU koordinat Kand B tidak sesuai yg di validasi,need revisi BAN luas lahan 5x5m</t>
  </si>
  <si>
    <t xml:space="preserve">CIMANGGIS 025
</t>
  </si>
  <si>
    <t>NEED FOLLOW UP (After W2 May)</t>
  </si>
  <si>
    <t>17.000.000 (17KK @1.000.000)</t>
  </si>
  <si>
    <t>Need IW dan Surat pernyataan ready to soil</t>
  </si>
  <si>
    <t>BAN 17jt, IW clear</t>
  </si>
  <si>
    <t>18.750.000 (25KK@750.000)</t>
  </si>
  <si>
    <t>30.03.2020 Eskalasi turun menjadi 70jt, tetapi validasi SF meminta ketinggian 30m, need drone
27.03.2020 eskalasi turun jadi 75.000.000 need nego menjadi 70jt
Need bukti BAN (17jt) need nego 15jt dan IW, nego eskalasi ban 60jt</t>
  </si>
  <si>
    <t>10500000 (21KK @500.000)</t>
  </si>
  <si>
    <t>7.4.2020 Need hasil validasi kand B</t>
  </si>
  <si>
    <t xml:space="preserve"> Sabar Raya Kemajuan</t>
  </si>
  <si>
    <t>30.4.2020 Eskalasi submit to ARO</t>
  </si>
  <si>
    <t>SF</t>
  </si>
  <si>
    <t>93.500.000</t>
  </si>
  <si>
    <t>8.5.2020 Revisi eskalasi masa sewa 10thn</t>
  </si>
  <si>
    <t>6.000.000</t>
  </si>
  <si>
    <t>8.5.2020 Kand Geser ke B, eskalasi ulang</t>
  </si>
  <si>
    <t>8.5.2020 Esklasi submit to ARO</t>
  </si>
  <si>
    <t>30.000.000</t>
  </si>
  <si>
    <t>99.000.000</t>
  </si>
  <si>
    <t>11.5.2020 Eskalasi submit to ARO</t>
  </si>
  <si>
    <t>35.280.000/5thn kenaikan 10%</t>
  </si>
  <si>
    <t>15.5.2020 Eskalasi submit to aro</t>
  </si>
  <si>
    <t>17.000.000</t>
  </si>
  <si>
    <t>18.500.000</t>
  </si>
  <si>
    <t>19.5.2020 Eskalasi submit to ARO</t>
  </si>
  <si>
    <t>28.5.2020 Eskalasi submit to ARO</t>
  </si>
  <si>
    <t>19.000.000 (Luas Lahan 5x5)</t>
  </si>
  <si>
    <t>6.2.2020 Eskalasi submit to ARO</t>
  </si>
  <si>
    <t>17.000.000 (Luas Lahan 2x2)</t>
  </si>
  <si>
    <t xml:space="preserve">17.000.000 </t>
  </si>
  <si>
    <t>11.2.2020 Eskalasi submit to ARO</t>
  </si>
  <si>
    <t>20.000.000</t>
  </si>
  <si>
    <t>29.000.000</t>
  </si>
  <si>
    <t>97.500.000</t>
  </si>
  <si>
    <t>AULIA</t>
  </si>
  <si>
    <t>19.000.000</t>
  </si>
  <si>
    <t>12.000.000</t>
  </si>
  <si>
    <t>12.2.2020 Eskalasi submit to ARO</t>
  </si>
  <si>
    <t>WANA KERTA SINDANG JAYA_Revisi</t>
  </si>
  <si>
    <t>15.000.000</t>
  </si>
  <si>
    <t>Griya Sukatani Mekarsari_Revisi</t>
  </si>
  <si>
    <t>23.500.000</t>
  </si>
  <si>
    <t>13.2.2020 Eskalasi submit to ARO</t>
  </si>
  <si>
    <t>16.6 .2020 Eskalasi submit to ARO</t>
  </si>
  <si>
    <t>ROTUA</t>
  </si>
  <si>
    <t>25.000.000 ( Rooftop MT 25m)</t>
  </si>
  <si>
    <t>98.000.000</t>
  </si>
  <si>
    <t>17.6.2020 Eskalasi submit to ARO</t>
  </si>
  <si>
    <t>10.500.000</t>
  </si>
  <si>
    <t>92.000.000</t>
  </si>
  <si>
    <t>18.6.2020 Eskalasi submit to ARO</t>
  </si>
  <si>
    <t>11.000.000</t>
  </si>
  <si>
    <t>88.500.000</t>
  </si>
  <si>
    <t>19.6.2020 Eskalasi submit to ARO</t>
  </si>
  <si>
    <t>TAPOS DEPOK_LBL</t>
  </si>
  <si>
    <t>Beda GPS dengan Approval</t>
  </si>
  <si>
    <t>JL RAYA KORELET</t>
  </si>
  <si>
    <t>6.500.000</t>
  </si>
  <si>
    <t>6.25.2020 Eskalasi submit to ARO</t>
  </si>
  <si>
    <t>Elang Sawang</t>
  </si>
  <si>
    <t>NOT OK PRICE</t>
  </si>
  <si>
    <t>Nego Eskalasi di 65JT , need BAN , IW dan GPS</t>
  </si>
  <si>
    <t>1.7.2020 Eskalasi submit to ARO</t>
  </si>
  <si>
    <t>blm  ada hasil validasi</t>
  </si>
  <si>
    <t>PASIR JAMBU SUKARAJA</t>
  </si>
  <si>
    <t>Nego Eskalasi di 85JT , beda gps dengan approval</t>
  </si>
  <si>
    <t>1.7.2020 Eskalasi submit to ARO Masa Sewa 10 thn Langsung</t>
  </si>
  <si>
    <t>1.7.2020 Eskalasi submit to ARO Masa Sewa 10 thn Skema 5,5</t>
  </si>
  <si>
    <t xml:space="preserve">1.7.2020 Eskalasi submit to ARO </t>
  </si>
  <si>
    <t>TURANGGA EMPAT TIGA</t>
  </si>
  <si>
    <t>7.7.2020 Eskalasi submit to ARO</t>
  </si>
  <si>
    <t>14.7.2020 Eskalasi submit to ARO</t>
  </si>
  <si>
    <t>16.7.2020 Eskalasi submit to ARO</t>
  </si>
  <si>
    <t>16.7.2020 Revisi Masa sewa 10thn, 5-5</t>
  </si>
  <si>
    <t>TURANGGA</t>
  </si>
  <si>
    <t>20.7.2020 Eskalasi submit to ARO</t>
  </si>
  <si>
    <t>Eskalasi Reject</t>
  </si>
  <si>
    <t>22.7.2020 Eskalasi submit to ARO</t>
  </si>
  <si>
    <t>16.8.2020 Eskalasi submit to ARO</t>
  </si>
  <si>
    <t>27.7.2020 Eskalasi submit to ARO</t>
  </si>
  <si>
    <t>28.7.2020 Eskalasi submit to ARO</t>
  </si>
  <si>
    <t>30.7.2020 Eskalasi submit to ARO</t>
  </si>
  <si>
    <t>10.8.2020 Eskalasi submit to ARO</t>
  </si>
  <si>
    <t>13.8.2020 Eskalasi submit to ARO</t>
  </si>
  <si>
    <t>19.8.2020 Revisi nilai eskalasi tambah 4jt</t>
  </si>
  <si>
    <t>200.000.000 UNTUK 11 TAHUN</t>
  </si>
  <si>
    <t>21.8.2020 Eskalasi submit to ARO</t>
  </si>
  <si>
    <t>24.8.2020 Eskalasi submit to ARO</t>
  </si>
  <si>
    <t>9.4.2020 Eskalasi submit to ARO</t>
  </si>
  <si>
    <t>9.3.2020 Eskalasi submit to ARO</t>
  </si>
  <si>
    <t xml:space="preserve"> PASIR JAYA JATIUWUNG</t>
  </si>
  <si>
    <t>9.11.2020 Eskalasi submit to ARO</t>
  </si>
  <si>
    <t>9.14.2020 Eskalasi submit to ARO</t>
  </si>
  <si>
    <t>SMPN 14 TANGERANG</t>
  </si>
  <si>
    <t>9.16.2020 Eskalasi Submit to ARO</t>
  </si>
  <si>
    <t>19JT/11THN</t>
  </si>
  <si>
    <t>09.22.2020 Eskalasi submit to ARO</t>
  </si>
  <si>
    <t>9.24.2020 Eskalasi submit to ARO</t>
  </si>
  <si>
    <t>17.500.000/10THN</t>
  </si>
  <si>
    <t>9.30.2020 Eskalasi submit to ARO</t>
  </si>
  <si>
    <t>Tol Pelabuhan Ancol_Rev Masa Sewa</t>
  </si>
  <si>
    <t>10.1.2020 Eskalasi submit to ARO, rev masa sewa 10 tahun</t>
  </si>
  <si>
    <t>FERGACO</t>
  </si>
  <si>
    <t>HOLD NEED harga dan validasi 24m</t>
  </si>
  <si>
    <t>45.000.000/THN, MASA SEWA 11 THN</t>
  </si>
  <si>
    <t>23.000.000</t>
  </si>
  <si>
    <t>95.000.000</t>
  </si>
  <si>
    <t>30.11.2020 Eskalasi resubmit to ARO</t>
  </si>
  <si>
    <t>10.5.2020 Eskalasi submit to ARO</t>
  </si>
  <si>
    <t>17.000.000/THN, MASA SEWA 10 THN LANGSUNG</t>
  </si>
  <si>
    <t>10.12.2020 Eskalasi submit to ARO</t>
  </si>
  <si>
    <t>DONE APPROVE</t>
  </si>
  <si>
    <t>15.000.000/THN, MASA SEWA 10 THN LANGSUNG</t>
  </si>
  <si>
    <t>10.26.2020 Eskalasi submit to ARO</t>
  </si>
  <si>
    <t>18.000.000/THN, MASA SEWA 10 TAHUN LANGSUNG</t>
  </si>
  <si>
    <t>4.11.2020 Eskalasi submit to ARO
9.11.2020 Done Approve</t>
  </si>
  <si>
    <t>TANPA BAN, LAHAN FASUM</t>
  </si>
  <si>
    <t>13.11.2020 Eskalasi Submit</t>
  </si>
  <si>
    <t>WAITING APPROVAL</t>
  </si>
  <si>
    <t>17.11.2020 ESKALASI SUBMIT ARO</t>
  </si>
  <si>
    <t>SST 52M</t>
  </si>
  <si>
    <t>47m</t>
  </si>
  <si>
    <t>34m</t>
  </si>
  <si>
    <t>06°06'06.11" S</t>
  </si>
  <si>
    <t>106°42'56.6" E</t>
  </si>
  <si>
    <t>06°06'05.4" S</t>
  </si>
  <si>
    <t>106°42'56.14" E</t>
  </si>
  <si>
    <t>96.4m</t>
  </si>
  <si>
    <t>121.3m</t>
  </si>
  <si>
    <t>19.000.000/THN, MASA SEWA 20 TAHUN (5+5+5+5)</t>
  </si>
  <si>
    <t>18.000.000/THN, MASA SEWA 20 TAHUN (5+5+5+5)</t>
  </si>
  <si>
    <t>20.000.000/THN, MASA SEWA 10 TAHUN LANGSUNG</t>
  </si>
  <si>
    <t>28.12.2020 Approve ARO</t>
  </si>
  <si>
    <t>H</t>
  </si>
  <si>
    <t>-6.49870</t>
  </si>
  <si>
    <t>106.79063</t>
  </si>
  <si>
    <t xml:space="preserve"> -6.096156°</t>
  </si>
  <si>
    <t>106.592519°</t>
  </si>
  <si>
    <t xml:space="preserve"> -6.128375°</t>
  </si>
  <si>
    <t>106.532867°</t>
  </si>
  <si>
    <t>-6.62475</t>
  </si>
  <si>
    <t>106.7604</t>
  </si>
  <si>
    <t>-6.24075</t>
  </si>
  <si>
    <t>106.45417</t>
  </si>
  <si>
    <t>-6.285556</t>
  </si>
  <si>
    <t>106.43283</t>
  </si>
  <si>
    <t>-6.145972°</t>
  </si>
  <si>
    <t>106.581139°</t>
  </si>
  <si>
    <t xml:space="preserve"> -6.505611°</t>
  </si>
  <si>
    <t>106.899817°</t>
  </si>
  <si>
    <t>-6.367789</t>
  </si>
  <si>
    <t>106.683114</t>
  </si>
  <si>
    <t>-6.48802</t>
  </si>
  <si>
    <t>106.79822</t>
  </si>
  <si>
    <t>-6.308500°</t>
  </si>
  <si>
    <t>-6.338472°</t>
  </si>
  <si>
    <t>106.600861°</t>
  </si>
  <si>
    <t>-6.4111</t>
  </si>
  <si>
    <t>106.88383</t>
  </si>
  <si>
    <t>Q</t>
  </si>
  <si>
    <t>-6.10873</t>
  </si>
  <si>
    <t>106.61962</t>
  </si>
  <si>
    <t>P</t>
  </si>
  <si>
    <t>-6.44443</t>
  </si>
  <si>
    <t>106.95828</t>
  </si>
  <si>
    <t>-6.12789</t>
  </si>
  <si>
    <t>107.28315</t>
  </si>
  <si>
    <t>-6.20863</t>
  </si>
  <si>
    <t>106.40324</t>
  </si>
  <si>
    <t>-6.36180</t>
  </si>
  <si>
    <t>106.69205</t>
  </si>
  <si>
    <t>-6.30420</t>
  </si>
  <si>
    <t>107.02915</t>
  </si>
  <si>
    <t>-6.08597</t>
  </si>
  <si>
    <t>106.66314</t>
  </si>
  <si>
    <t>-6.32869</t>
  </si>
  <si>
    <t>106.83049</t>
  </si>
  <si>
    <t>-6.11359</t>
  </si>
  <si>
    <t>106.71122</t>
  </si>
  <si>
    <t>-6.45459</t>
  </si>
  <si>
    <t>106.8635</t>
  </si>
  <si>
    <t>-6.24077</t>
  </si>
  <si>
    <t>106.75289</t>
  </si>
  <si>
    <t>-6.56514</t>
  </si>
  <si>
    <t>106.66093</t>
  </si>
  <si>
    <t>-6.243058</t>
  </si>
  <si>
    <t>106.543347</t>
  </si>
  <si>
    <t>-6.078712</t>
  </si>
  <si>
    <t>106.666176</t>
  </si>
  <si>
    <t>-6.09690</t>
  </si>
  <si>
    <t>-6.29228</t>
  </si>
  <si>
    <t>107.27731</t>
  </si>
  <si>
    <t>-6,32153</t>
  </si>
  <si>
    <t>106,69678</t>
  </si>
  <si>
    <t>-6.64350</t>
  </si>
  <si>
    <t>-6.257367</t>
  </si>
  <si>
    <t>106.6655</t>
  </si>
  <si>
    <t>-6.19599</t>
  </si>
  <si>
    <t>106.50744</t>
  </si>
  <si>
    <t>F</t>
  </si>
  <si>
    <t>-6.30917</t>
  </si>
  <si>
    <t>106.84661</t>
  </si>
  <si>
    <t>-6.17607</t>
  </si>
  <si>
    <t>106.62659</t>
  </si>
  <si>
    <t>-6.14674</t>
  </si>
  <si>
    <t>106.58908</t>
  </si>
  <si>
    <t>107.291</t>
  </si>
  <si>
    <t>-6.29475</t>
  </si>
  <si>
    <t>106.8975</t>
  </si>
  <si>
    <t>I</t>
  </si>
  <si>
    <t>-6.24186</t>
  </si>
  <si>
    <t>106.92663</t>
  </si>
  <si>
    <t>-6.48569</t>
  </si>
  <si>
    <t>106.89312</t>
  </si>
  <si>
    <t>-6.46290</t>
  </si>
  <si>
    <t>106.81956</t>
  </si>
  <si>
    <t>-6.60523</t>
  </si>
  <si>
    <t>106.64031</t>
  </si>
  <si>
    <t>-6.339528</t>
  </si>
  <si>
    <t>106.759917</t>
  </si>
  <si>
    <t>-6.31657</t>
  </si>
  <si>
    <t>106.70642</t>
  </si>
  <si>
    <t>-6.12976</t>
  </si>
  <si>
    <t>106.61312</t>
  </si>
  <si>
    <t>-6.4141</t>
  </si>
  <si>
    <t>106.58765</t>
  </si>
  <si>
    <t>-6.304911</t>
  </si>
  <si>
    <t>-6.30095</t>
  </si>
  <si>
    <t>106.76260</t>
  </si>
  <si>
    <t>-6.13057</t>
  </si>
  <si>
    <t>106.83448</t>
  </si>
  <si>
    <t xml:space="preserve">-6.17911 </t>
  </si>
  <si>
    <t xml:space="preserve">106.92233 </t>
  </si>
  <si>
    <t>-6.19367</t>
  </si>
  <si>
    <t>106.57746</t>
  </si>
  <si>
    <t xml:space="preserve"> -6.199049°</t>
  </si>
  <si>
    <t>106.605185°</t>
  </si>
  <si>
    <t>-6.19267</t>
  </si>
  <si>
    <t>106.56358</t>
  </si>
  <si>
    <t>-6.21767</t>
  </si>
  <si>
    <t>106.64248</t>
  </si>
  <si>
    <t>-6.11881</t>
  </si>
  <si>
    <t>106.91353</t>
  </si>
  <si>
    <t>U</t>
  </si>
  <si>
    <t>-6.23304</t>
  </si>
  <si>
    <t>106.7606</t>
  </si>
  <si>
    <t>-6.22488</t>
  </si>
  <si>
    <t>106.95764</t>
  </si>
  <si>
    <t>-6.62145</t>
  </si>
  <si>
    <t>106.90257</t>
  </si>
  <si>
    <t>T</t>
  </si>
  <si>
    <t>-6.2349</t>
  </si>
  <si>
    <t>106.8637</t>
  </si>
  <si>
    <t>-6.29977</t>
  </si>
  <si>
    <t>106.69607</t>
  </si>
  <si>
    <t>Kp. Kadu Buntung, RT 003/RW 004, Desa Silebu, Kec. Kragilan, Kab Serang</t>
  </si>
  <si>
    <t>PT BNP</t>
  </si>
  <si>
    <t>JR Terlampir</t>
  </si>
  <si>
    <t>Kp.Gunung Sindur RT 003 RW 011 Desa Gunung Sindur Kec.Gunung Sindur Kab.Bogor Provinsi Jawa Barat</t>
  </si>
  <si>
    <t>Approval Operator</t>
  </si>
  <si>
    <t>IW On Going</t>
  </si>
  <si>
    <t>P2</t>
  </si>
  <si>
    <t>233.73m</t>
  </si>
  <si>
    <t>232m</t>
  </si>
  <si>
    <t>INJB21_0218</t>
  </si>
  <si>
    <t>INJB21_0538</t>
  </si>
  <si>
    <t>HUNew_BDG4716-2</t>
  </si>
  <si>
    <t>IN20_JB_1421</t>
  </si>
  <si>
    <t>LEUWILIANG BOGOR</t>
  </si>
  <si>
    <t>TENJOLAYA BOGOR</t>
  </si>
  <si>
    <t>WARUNG KIARA SUKABUMI</t>
  </si>
  <si>
    <t>PARUNG PANJANG GOROWONG</t>
  </si>
  <si>
    <t>Near Existing</t>
  </si>
  <si>
    <t>IW Failed</t>
  </si>
  <si>
    <t>BAN too High</t>
  </si>
  <si>
    <t>PT. DATATEL</t>
  </si>
  <si>
    <t>JSX942</t>
  </si>
  <si>
    <t>MKAHFISRENGSENG</t>
  </si>
  <si>
    <t>122.15m</t>
  </si>
  <si>
    <t>97.21m</t>
  </si>
  <si>
    <t>On Going NY Clear</t>
  </si>
  <si>
    <t>Alt 1 (B)</t>
  </si>
  <si>
    <t>363.10m</t>
  </si>
  <si>
    <t>56m</t>
  </si>
  <si>
    <t>Waitig Internal Review, Siteforge Reject</t>
  </si>
  <si>
    <t>[4.1.21] IW, Done, rekom LC plan 10.1.21
[24.12.20] Approval kandidat D dan E, KLS Follow Up
Need Approval Operator</t>
  </si>
  <si>
    <t>318m</t>
  </si>
  <si>
    <t>99m</t>
  </si>
  <si>
    <t>Update TSSR di TBG Sys</t>
  </si>
  <si>
    <t>Follow Up update VP BNP, Follow Up APD ke Pak Virma</t>
  </si>
  <si>
    <t>Waiting hasil eskalasi ARO</t>
  </si>
  <si>
    <t>Follow Up SUPER RFC untuk naik RFC</t>
  </si>
  <si>
    <t>Newsite2195</t>
  </si>
  <si>
    <t>33 KK + 2 Tokoh Masyarakat</t>
  </si>
  <si>
    <t>300000 + 2000000</t>
  </si>
  <si>
    <t>05.01.2021 Resubmit Eskalasi</t>
  </si>
  <si>
    <t>77.000.000</t>
  </si>
  <si>
    <t>Kp. Legokrati RT. 002 RW. 003 Desa Tajur Kec. Citeureup Kab. Bogor</t>
  </si>
  <si>
    <t>M. KAHFI 3</t>
  </si>
  <si>
    <t>0230618480231</t>
  </si>
  <si>
    <t>0230618490231</t>
  </si>
  <si>
    <t>0230618500231</t>
  </si>
  <si>
    <t>0030572370031</t>
  </si>
  <si>
    <t>75.500.000</t>
  </si>
  <si>
    <t>8.1.2020 Resubmit revisi eskalasi</t>
  </si>
  <si>
    <t>14.97m</t>
  </si>
  <si>
    <t>171.21m</t>
  </si>
  <si>
    <t>222.03m</t>
  </si>
  <si>
    <t>217.82m</t>
  </si>
  <si>
    <t>87.9m</t>
  </si>
  <si>
    <t>149.69m</t>
  </si>
  <si>
    <t>253.96m</t>
  </si>
  <si>
    <t>Row Labels</t>
  </si>
  <si>
    <t>Grand Total</t>
  </si>
  <si>
    <t>[14.1.21] RFC
[5.1.21] Rekom Camat Done. 
[4.1.21] Rekom LC OG, Plan Rekom Done 8.1.21
[28.12.20] Approval ARO done, Follow Up BNP IW Done
[22.12.20] Kandidat approve, plan submit eskalasi 22.12.20
[18.12.20] Approval kandidat via siteforge
[17.12.20] Mitra submit new kandidat
[14.12.20] Kandidat B,  IW failed, plan IW paralel nego kandidat A 16.12.20
IW On Going</t>
  </si>
  <si>
    <t>Reject Kandidat</t>
  </si>
  <si>
    <t>Antenna di ketinggian 50</t>
  </si>
  <si>
    <t>[19.1.21] Validasi Done, Kandidat A Approve.</t>
  </si>
  <si>
    <t>BAN 1 th (Reference : Average 2020)</t>
  </si>
  <si>
    <t>BAN 11 th (Reference : Average 2020)</t>
  </si>
  <si>
    <t>AVRG COST 2020</t>
  </si>
  <si>
    <t>CAPEX PLAN 2021</t>
  </si>
  <si>
    <t>Average of Additional Operational Cost Site</t>
  </si>
  <si>
    <t>Site</t>
  </si>
  <si>
    <t>Average of BAN</t>
  </si>
  <si>
    <t>Total Site</t>
  </si>
  <si>
    <t>NEW MCP NON FO Total</t>
  </si>
  <si>
    <t>PT. ROTUA ABADI JAYA</t>
  </si>
  <si>
    <t>PT. RAKA MITRA BERSAMA</t>
  </si>
  <si>
    <t>PT. PANEN KARYA BERSAMA</t>
  </si>
  <si>
    <t>Site KLS, Lumpsum</t>
  </si>
  <si>
    <t>PT. Banjarpasir Nusa Pratama</t>
  </si>
  <si>
    <t>PT. AULIA DANARDANA</t>
  </si>
  <si>
    <t>NEW BUILD Total</t>
  </si>
  <si>
    <t>PT. MULTI KREASI INVESTAMA</t>
  </si>
  <si>
    <t>Tidak ada IW - Pusdikreskrim</t>
  </si>
  <si>
    <t>PT. DATATEL INDONESIA</t>
  </si>
  <si>
    <t>PT. ARENAS ADI PERKASA</t>
  </si>
  <si>
    <t>Avg of Total Sitac</t>
  </si>
  <si>
    <t>Avg of Operasional Cost</t>
  </si>
  <si>
    <t>Avg of IW Cost</t>
  </si>
  <si>
    <t>Avg of BAN</t>
  </si>
  <si>
    <t>Supplier Sitac</t>
  </si>
  <si>
    <t>ZBGR_4605</t>
  </si>
  <si>
    <t>ZBGR_4261</t>
  </si>
  <si>
    <t>PASAR CISAATSKB</t>
  </si>
  <si>
    <t>R</t>
  </si>
  <si>
    <t>SKB204</t>
  </si>
  <si>
    <t>[24.1.21] RFC
[11.1.21] Rekom LC OG, kades masih diluar kota
[5.1.21] Resubmit eskalasi SITAC
[28.12.20] Eskalasi Rejected by ARO, waiting eskalasi submit 30.12.20
[22.12.20] Waiting validasi Kand. B siteforge, submit eskalasi ke ARO, Kandidat B IW Clear
[18.12.20] Resubmit kandidat via siteforge
[15.12.20] Approval kandidat reject
[14.12.20] IW OG done 15 KK, 11 KK 17.12.20
Plan Sabtu SOSWAR</t>
  </si>
  <si>
    <t>[26.1.21] Hunting di jalan villa mutiara pluit, BA hasil nego dengan developer soal titik kandidat, mencari info lahan sebelah barat NOM
[4.1.21] Validasi kandidat A dan B melalui siteforge
[30.12.20] Submit JR &amp; TSSR
[22.12.20] Takeover, Need New Mitra
[14.12.20] Update hasil re-hunting kandidat, 16.12.20 dapat kandidat
Candidate NY Approve
Submit Validasi 7.12.20</t>
  </si>
  <si>
    <t>PT. PANEN</t>
  </si>
  <si>
    <t>P1, antena 60.5</t>
  </si>
  <si>
    <t>P2, antena 60.5</t>
  </si>
  <si>
    <t>Rekom Lurah Camat</t>
  </si>
  <si>
    <t>Antenna 48m</t>
  </si>
  <si>
    <t>20 Tahun</t>
  </si>
  <si>
    <t>17.000.000/THN, MASA SEWA 20 TAHUN (5+5+5+5)</t>
  </si>
  <si>
    <t>20.000.000/THN, MASA SEWA 11 TAHUN LANGSUNG</t>
  </si>
  <si>
    <t>1.2.2021 Resubmit revisi eskalasi to ARO</t>
  </si>
  <si>
    <t>158.06m</t>
  </si>
  <si>
    <t>06°07'30.9" S</t>
  </si>
  <si>
    <t>106°49'44.1" E</t>
  </si>
  <si>
    <t>223.45m</t>
  </si>
  <si>
    <t>2.2.2021 Submit  eskalasi</t>
  </si>
  <si>
    <t>80.500.000</t>
  </si>
  <si>
    <t>PT DSR</t>
  </si>
  <si>
    <t>PANEN</t>
  </si>
  <si>
    <t>15.000.000/THN, MASA SEWA 20 TAHUN (5+5+5+5)</t>
  </si>
  <si>
    <t>5.2.2021 Submit  eskalasi</t>
  </si>
  <si>
    <t>Kp. Serdang RT 010 RW 004, Desa Cipayeh , Kec. Gunung Kaler, Kab Tangerang</t>
  </si>
  <si>
    <t>Jl. Tugu Karya 2, Kp. Sambi Doyong, RT 02/01, Kel. Cipondoh Makmur, Kec. Cipondoh, Kota Tangerang, Prov. Banten</t>
  </si>
  <si>
    <t>Kp. Kemang RT 001/RW 007 Desa Cibinong, Kecamatan Gunung Sindur, Bogor</t>
  </si>
  <si>
    <t>PT. ORLIE</t>
  </si>
  <si>
    <t>Teguh : 081388241444</t>
  </si>
  <si>
    <t>Wahyudi : 081318329358</t>
  </si>
  <si>
    <t>1000000 + 1500000</t>
  </si>
  <si>
    <t>SST 62m</t>
  </si>
  <si>
    <t>Approve</t>
  </si>
  <si>
    <t>24.500.000</t>
  </si>
  <si>
    <t>68.500.000</t>
  </si>
  <si>
    <t>9.2.2021 Re-Submit  eskalasi</t>
  </si>
  <si>
    <t>Kp. Pasir Gaok RT. 01 RW. 04 Desa. Gunung Malang Kec. Tenjolaya Kab. Bogor</t>
  </si>
  <si>
    <t>PT Datatel</t>
  </si>
  <si>
    <t>BENCONGANKELAPADUA</t>
  </si>
  <si>
    <t>CURUGBADAKMAJA</t>
  </si>
  <si>
    <t>CURUGBITUNGNANGGUNG</t>
  </si>
  <si>
    <t>NEGLASARINEGLASARI</t>
  </si>
  <si>
    <t>PASIRJAYAJATIUWUNG</t>
  </si>
  <si>
    <t>PERMANENTCOMBATCIKANDEPERMAI</t>
  </si>
  <si>
    <t>TGR238</t>
  </si>
  <si>
    <t>RKB069</t>
  </si>
  <si>
    <t>CBN436</t>
  </si>
  <si>
    <t>TNX324</t>
  </si>
  <si>
    <t>TNX323</t>
  </si>
  <si>
    <t>SRG269</t>
  </si>
  <si>
    <t>STIP 8</t>
  </si>
  <si>
    <t>LEBAK</t>
  </si>
  <si>
    <t>0010619490011</t>
  </si>
  <si>
    <t>1264281001</t>
  </si>
  <si>
    <t>RFC
[5.1.21] Submit PKS ke Legal, deviasi OG
[9.12.20] Waiting Review PKS</t>
  </si>
  <si>
    <t>RFC
[10.12.20] PKS TTD pihak TBG
[9.12.20] Rekom Camat NY</t>
  </si>
  <si>
    <t>RFC
[4.1.21] APD Done by konsultan
[9.12.20] APD NY Done, review by consultant
Rekom Camat NY</t>
  </si>
  <si>
    <t>RFC
[9.2.21] RFC
[27.1.21] Legalitas lahan dan nadzir sedang diurus, rekom LC dikejar
[25.1.21] IW done, BAK Done, Nego start CME
[5.1.21] Validasi Titik to RANE TSEL
[9.12.20] Submit Kandidat Z
IW On Going</t>
  </si>
  <si>
    <t>RFC
[18.12.20] Start CME
[15.12.20] Join Survey SAT, LBL, TBG
[14.12.20] Rekom LC sudah clear, Proses SIK dari PKP plan release tanggal 14</t>
  </si>
  <si>
    <t>PASARCISAATSKB</t>
  </si>
  <si>
    <t>312.19m</t>
  </si>
  <si>
    <t>30/0.9</t>
  </si>
  <si>
    <t>Jl. Kapten Dasuki Bakri RT 001 RW 01 Cibatok II, Kecamatan Cibungbulang, Kabupaten Bogor</t>
  </si>
  <si>
    <t>35 KK</t>
  </si>
  <si>
    <t>[18.2.21] Rekom Camat Done, waiting APD dan Soil Test Result
[8.2.21] Rekom Camat
[5.2.21] Approval eskalasi to ARO, Approve ARO Rekom LC OG
[1.2.21] Approve by Operator Kand H, Follow Up Panen IW Clear
[23.1.21] Validasi by WA kand G
[9.1.21] Arahan Huntin baru, assign mitra rehunting kand E
[30.12.20] Reject kandidat by Siteforge. Waiting Internal Review
[28.12.20] Submit kandidat D dengan JR
[22.12.20] Plan Submit Mitra BNP 23.12.20
[17.12.20] Approval kandidat via siteforge
[16.12.20] Submit New Kandidat
[14.12.20] Kandidat A fail IW soswar tanggal 11.12.20. proses Rehunting plan submit TSSR 16.12.20
IW On Going</t>
  </si>
  <si>
    <t>Kp. Cilandak RT. 02/04 Desa. Sirnajaya Kec. Warung Kiara Kab. Sukabumi</t>
  </si>
  <si>
    <t>18.2.2021 Re-Submit  eskalasi</t>
  </si>
  <si>
    <t>254m</t>
  </si>
  <si>
    <t>Waiting Internal Review</t>
  </si>
  <si>
    <t>SST 62</t>
  </si>
  <si>
    <t>July : 087885357910</t>
  </si>
  <si>
    <t>Jl. Kadu Dampit RT 17/RW 03 Desa Nagrak, Kecamatan Cisaat, Sukabumi</t>
  </si>
  <si>
    <t>[24.2.21] Follow Up orang PT Ancol untuk diskusi lahan di ancol dibantu Camat Pademangan
[15.2.21] Kandidat Rooftop menolak, Re-Hunting
[9.2.21] Follow Up titik IW clear pak Magfuri sebelumnya
[8.2.21] Pengajuan Surat ke PT Surya Citra Multimedia untuk pengajuan kerjasama
[4.2.21] re-hunting sekitar, pengajuan kandidat C (rooftop). Validasi kandidat to pak Budi
[3.2.21] Mendatangi hotel discovery</t>
  </si>
  <si>
    <t>1000000 &amp; 2500000</t>
  </si>
  <si>
    <t>11 KK + 4 KK</t>
  </si>
  <si>
    <t>Average of BIAYA IW</t>
  </si>
  <si>
    <t>Average IW</t>
  </si>
  <si>
    <t>Average Eskalasi</t>
  </si>
  <si>
    <t>Count of site_id</t>
  </si>
  <si>
    <t>Land Lease By System</t>
  </si>
  <si>
    <t>116 sites</t>
  </si>
  <si>
    <t>Biaya SITAC</t>
  </si>
  <si>
    <t>Geser</t>
  </si>
  <si>
    <t>23.000.000/THN, MASA SEWA 10 TAHUN LANGSUNG</t>
  </si>
  <si>
    <t>25.2.2021 Submit Eskalasi to ARO</t>
  </si>
  <si>
    <t>ISSUE CELLPLAN</t>
  </si>
  <si>
    <t>Re-hunting lahan</t>
  </si>
  <si>
    <t>RFI Projection</t>
  </si>
  <si>
    <t>26 Maret 2021</t>
  </si>
  <si>
    <t>[26.2.21] RFC
[23.2.21] Rekom Camat Done, waiting update VP and system
[19.2.21] Rekom Lurah Done, Soil Test Done
[10.2.21] Eskalasi Approve, Rekom LC OG
[3.2.21] Renego eskalasi SITAC
[26.1.21] IW OG 18KK dari 22KK, BAN 17jt tahun. Plan submit eskalasi 28 Jan 21
[19.1.21] Validasi Done Kand A
[30.12.20] STIP Input, Mitra assignment</t>
  </si>
  <si>
    <t>1 Perusahaan + 4 KK</t>
  </si>
  <si>
    <t>AVRG COST 2020/Year</t>
  </si>
  <si>
    <t>30.000.000/THN, MASA SEWA 10 TAHUN LANGSUNG</t>
  </si>
  <si>
    <t>2.3.21 Submit eskalasi ARO</t>
  </si>
  <si>
    <t>2.3.21 Re-Submit eskalasi ARO</t>
  </si>
  <si>
    <t>[27.2.21] Kandidat failed high price
[23.2.21] Submit kandidat validasi to RANE
[19.2.21] Take over Mitra, submit kandidat 21.2.21 
[7.2.21] IW failed
[1.2.21] Approval kandidat by operator, Follow Up IW
[26.1.21] Follow up titik dengan ketinggian di 42m
[22.12.20] Follow Up Approval ke Smarfren
[17.12.20] Resubmit kandidat via siteforge
[14.12.20] Proses Validasi SF
Submit kandidat A 11.12.20</t>
  </si>
  <si>
    <t>[3.3.21] Rekom Lurah Camat Done, waiting APD Design.
[24.2.21] Realisasi by mitra
[21.2.21] Eskalasi approve ARO, realisasi + Rekom LC 14 hari
[18.2.21] Submit eskalasi to ARO
[10.2.21] Reject eskalasi, Renego BAN
[6.2.21] Reject ekalasi
[3.2.21] Renego eskalasi SITAC
[25.1.21] Validasi Done Kand B, BAN 15 juta/tahun
[30.12.20] STIP Input, Mitra assignment</t>
  </si>
  <si>
    <t>0010622710011</t>
  </si>
  <si>
    <t>1319641001</t>
  </si>
  <si>
    <t>030793/TBG-TB/TSEL/MKT/03/2021</t>
  </si>
  <si>
    <t>0010622720011</t>
  </si>
  <si>
    <t>1319651001</t>
  </si>
  <si>
    <t>030794/TBG-TB/TSEL/MKT/03/2021</t>
  </si>
  <si>
    <t>0010622740011</t>
  </si>
  <si>
    <t>1319661001</t>
  </si>
  <si>
    <t>030796/TBG-TB/TSEL/MKT/03/2021</t>
  </si>
  <si>
    <t>0010622750011</t>
  </si>
  <si>
    <t>1264691001</t>
  </si>
  <si>
    <t>030795/TBG-TB/TSEL/MKT/03/2021</t>
  </si>
  <si>
    <t>0010622730011</t>
  </si>
  <si>
    <t>1264681001</t>
  </si>
  <si>
    <t>030797/TBG-TB/TSEL/MKT/03/2021</t>
  </si>
  <si>
    <t>PERMANENCOMBATCIKANDEPERMAI</t>
  </si>
  <si>
    <t>5.3.21 Submit eskalasi ARO</t>
  </si>
  <si>
    <t>JBX304</t>
  </si>
  <si>
    <t>MANYARKALIDERES</t>
  </si>
  <si>
    <t>JBX306</t>
  </si>
  <si>
    <t>STAKALIDERES</t>
  </si>
  <si>
    <t>JTX483</t>
  </si>
  <si>
    <t>PONDOKRANGGONCIPAYUNG</t>
  </si>
  <si>
    <t>TGR236</t>
  </si>
  <si>
    <t>PERMANENTCMBTLIONAIR</t>
  </si>
  <si>
    <t>CPT249</t>
  </si>
  <si>
    <t>PARADISESERPONG2</t>
  </si>
  <si>
    <t>SKB215</t>
  </si>
  <si>
    <t>SUKAJAYASALABINTANA</t>
  </si>
  <si>
    <t>KOTA JAKARTA TIMUR</t>
  </si>
  <si>
    <t>KOTA JAKARTA BARAT</t>
  </si>
  <si>
    <t>53 KK</t>
  </si>
  <si>
    <t>1500000 + 500000 + 250000</t>
  </si>
  <si>
    <t>Kp. Kalutuk RT 007 RW 003 Desa Cikande Permai Kecamatan Cikande Kabupaten Serang</t>
  </si>
  <si>
    <t>Jl. Raya Siliwangi RT 30 RW 12, Desa Sundawenang, Kec. Parung Kuda, Kabupaten Sukabumi</t>
  </si>
  <si>
    <t>[9.3.21] RFC done, update system
[1.3.21] IW Clear, OG Rekom LC
[15.2.21] Waiting mitra submit eskalasi</t>
  </si>
  <si>
    <t>9.3.21 Submit eskalasi to ARO</t>
  </si>
  <si>
    <t>S</t>
  </si>
  <si>
    <t>Rekom LC</t>
  </si>
  <si>
    <t>[11.3.21] Validasi kandidat by siteforge
[19.2.21] Need Take Over Mitra
[11.2.21] Jovis with SF
[2.2.21] Return by BNP, Pak Handri hunting titik kandidat
[26.1.21] Follow up mitra kandidat baru, maksimal jumat baru mitra di takeover
[7.1.21] Kandidat Approve, Eskalasi Submit 13.1.21
[5.1.21] Resubmit kandidat C, Plan IW clear 8.1.21
[22.12.20] Kandidat B, kepastian harga dari LL 23.12.20, check IW, Paralel Rehunting kandidat C
[20.12.20] BNP Submit kandidat, Check IW dan BAN 22.12.20
[17.12.20] Paralel Re-Hunting IW NY Clear
[14.12.20] Plan IW clear 16.12.20
IW OG, Koordinasi dengan lingkungan
RF validation Done, Candidat Approve
Submit Validasi 7.12.20</t>
  </si>
  <si>
    <t>Issue</t>
  </si>
  <si>
    <t>[10.3.21] Go SITAC need height 25m</t>
  </si>
  <si>
    <t>[10.3.21] Go SITAC need height 50m. Kandidat P P1</t>
  </si>
  <si>
    <t xml:space="preserve">[10.3.21] Rehunting, need height 40m, Issue Ketinggian. </t>
  </si>
  <si>
    <t>Jl. Kp. Lebak Ciung, Rt.14 Rw.01, Desa Gorowong, Kec. Parung Panjang, Kab. Bogor</t>
  </si>
  <si>
    <t>12.3.2021 Submit  eskalasi</t>
  </si>
  <si>
    <t>[12.3.21] Antenna Height Approve, Rekom LC OG
[10.3.21] Waiting approval to siteforge, By WA done
[15.2.21] Need Follow Up Planning validasi antenna
[5.2.21] Rekom LC OG, approval eskalasi done
[26.1.21] Eskalasi IW
[4.1.21] Reject Eskalasi, waiting submit eskalasi mitra 7.1.21
[23.12.20] Eskalasi Mitra NY, Follow Up
[20.12.20] Bertemu RT/RW, plan Submit eskalasi 22.12.20
[16.12.20] Propose DSR, Sabtu plan ketemu RT
[14.12.20] Follow Negosiasi harga max 200jt 11 Tahun.
[8.12.20] Plan hari senin IW ulang, Renego BAN</t>
  </si>
  <si>
    <t>[12.3.21] Rekom LC done, paralel submit system
[4.3.21] Eskalasi done approve, go realisasi. Rekom LC 8/9 Maret
[2.3.21] Approval eskalasi SITAC
[23.2.21] Cancel PO SITAC Turangga
[21.2.21] IW OG, waiting eskalasi Submit by mitra
[15.1.21] IW OG
[4.12.20] mendapatkan harga sewa lahan</t>
  </si>
  <si>
    <t>[7.3.21] Need New kandidat, rehunting by SS
[3.3.21] Dapat 2 kandidat follow up BAN/BAK
[1.3.21] Pak Jimmy hunting
[15.2.21] Negosiasi BAN dengan yayasan, angka BAN 37jt/thn
[10.2.21] Jovis with yayasan brata bhakti
[8.2.21] Comcase warga radius, geser kandidat. kandidat ke yayasan brata bhakti
[4.2.21] IW onGOing
[2.2.21] Validation done OG IW
[26.1.21] Re-submit kandidat C dan D setelah meeting "clinic" hari jumat, hasil nego BAN ke mitra submit hari ini
[30.12.20] Rejected via siteforge, waiting internal review SF
[22.12.20] Submit Kandidat C, D, E. 
[20.12.20] Kandidat reject A dan B outsar, re-hunting
[16.12.20] Mitra submit kandidat, validation bia siteforge, TSSR NY
[15.12.20] Propose Datatel
[14.12.20] Pihak UBHARA menolak disewa, rehunting kandidat
Berkirim surat propose lahan UBHARA</t>
  </si>
  <si>
    <t>Dedi : 081387254343</t>
  </si>
  <si>
    <t>PT ROTUA</t>
  </si>
  <si>
    <t xml:space="preserve">0230618470231 </t>
  </si>
  <si>
    <t>18.000.000/THN, MASA SEWA 20 TAHUN (10+5+5)</t>
  </si>
  <si>
    <t>16.3.21 Submit eskalasi to ARO</t>
  </si>
  <si>
    <t>[15.3.21] SOIL Test, rekom Done
[9.3.21] eskalasi approve by ARO, Kejar Rekom LC W2 Maret
[2.3.21] Eskalasi submit. high price, nego eskalasi
[26.2.21] Waiting Mitra submit eskalasi hari ini 26.2.21
[23.1.21] Re-hunting akibat penolakan warga. BA terlampir.
[17.2.21] IW minus 1 orang, Plan IW clear 22.2.21
[14.2.21] IW minus 2 orang lagi
[6.2.21] IW minus 4 KK, LL lahan kosong berada di luar daerah
[1.2.21] Approval kandidat by operator, Follow Up IW
[26.1.21] Follow BA tertulis dari pergudangan Sigma Kartika Gunung Sindur hari ini
[28.12.20] Reject via siteforge, waiting internal review
[28.12.20] Resubmit kandidat B dengan JR
[22.12.20] Surat penolakan dari pergudangan, BAN Kandidat A dan B, Follow Up Approval SF
[14.12.20] proses Validasi SF
Validation to Candidat B 11.12.20
Candidate NY Approve 8.12.20
Submit Validasi 7.12.20</t>
  </si>
  <si>
    <t>[12.3.21] RFC
[7.3.21] waiting soil test and APD
[4.3.21] Go Realisasi IW dan Rekom
[26.2.21] Issue by LL, solving w1 Maret
[21.2.21] Eskalasi approve ARO, realisasi + Rekom LC 14 hari
[18.2.21] Submit eskalasi to ARO
[15.2.21] Renego eskalasi
[8.2.21] Renego eskalasi SITAC
[26.1.21] Submit siteforge tinggi 52, GO SITAC di 62m
[29.12.20] Validasi via Siteforge 22.12.20, BA IW dijalankan 
[16.12.20] Mitra submit kandidat
[14.12.20] Plan Submit Kandidat 14.12.20
NY Kandidat</t>
  </si>
  <si>
    <t>[15.3.21] SOIL TEST OG, Rekom Done
[8.3.21] IW clear, eskalasi approve, go rekom LC
[3.3.21] IW kurang warga perumahan
[22.2.21] Kandidat OK by TSEL IW OG</t>
  </si>
  <si>
    <t xml:space="preserve">SST </t>
  </si>
  <si>
    <t xml:space="preserve">Kp Pintu Kapuk  Rt.028 Rw.011 Desa Bojong Renged Kecamatan Teluk Naga Kab. Tangerang
</t>
  </si>
  <si>
    <t>Kp Pintu Kapuk  Rt.028 Rw.011 Desa Bojong Renged Kecamatan Teluk Naga Kab. Tangerang</t>
  </si>
  <si>
    <t>PT CMI</t>
  </si>
  <si>
    <t>0010623860011</t>
  </si>
  <si>
    <t>1130171001</t>
  </si>
  <si>
    <t>031054/TBG-TB/TSEL/MKT/03/2021</t>
  </si>
  <si>
    <t>Kp. Pangkalan RT 005 RW 010, Kel. Semanan, Kec. Kalideres, Jakarta Barat</t>
  </si>
  <si>
    <t>Kp. Ciganjur RT 001 RW 005 Kelurahan Curugbadak Kecamatan Maja Kabupaten Lebak</t>
  </si>
  <si>
    <t>TELKOMSEL</t>
  </si>
  <si>
    <t>20.000.000/THN, MASA SEWA 20 TAHUN (5+5+5+5)</t>
  </si>
  <si>
    <t>18.500.000/THN, MASA SEWA 20 TAHUN (5+5+5+5)</t>
  </si>
  <si>
    <t>24.3.21 Submit eskalasi to ARO</t>
  </si>
  <si>
    <t>Aktual Done CME, OG update system</t>
  </si>
  <si>
    <t>[24.3.21] Rekom Camat Done
[17.3.21] Waiting Rekom LC dan SOIL TEST
[8.3.21] Eskalasi approve, IW done
[4.3.21] Eskalasi reject, need nego
[2.3.21] Approval eskalasi to ARO
[22.2.21] IW Clear, Kades dan Camat Clear waiting eskalasi submit
[18.2.21] Nego Kades, RT, RW. permintaan tinggi
[3.2.21] IW OG
[26.1.21] Submit siteforge kandidat, Mitra IW di proses
[5.1.21] Resubmit kandidat B
[29.12.21] Rehunting kandidat SAR, Kandidat OutSAR Rejected via siteforge
[22.12.20] Kandidat A Not Accepted by TBG, Re-Hunting, Ada lahan refrensi dari KADES. Follow Up harga PT DAEHAN
[18.12.20] Validasi kandidat via siteforge
[17.12.20] Mitra submit kandidat, need check RTRW
[15.12.20] Re-hunting lahan
[14.12.20] Proses konfirmasi lahan desa, Submit TSSR/Kandidat to PM 15.12.20
[10.12.20] take over BNP ke DSR
NY Kandidat</t>
  </si>
  <si>
    <t>358m</t>
  </si>
  <si>
    <t>PT. KLS</t>
  </si>
  <si>
    <t>500000 + 700000</t>
  </si>
  <si>
    <t>Jl. Marsekal Surya Darma No.26b, RT.004/RW.002, Neglasari, Kec. Neglasari, Kota Tangerang, Banten 15129</t>
  </si>
  <si>
    <t>[30.3.21] Rekom Done
[24.3.21] Rekom Camat OG
[22.3.21] Realisasi Done, OG rekom LC plan finish 25.3.21 SOIL TEST done request
[18.3.21] Approval OK, Follow Up IW dan Rekom LC
[3.3.21] input siteforge waiting internal review batch 3
[23.2.21] Hard space, maksimal 25.2.21 submit new kandidat, take over mitra
[22.2.21] Submit New Kandidat, Kandidat E NOK Planning.
[19.2.21] Soswar kandidat B
[16.2.21] Comcase Warga, geser titik kandidat yang sudah pernah diapprove, waiting Soswar Plan 19.2.21
[8.2.21] Rekom Camat
[5.2.1] Approve ARO Rekom LC OG
[2.2.21] Nego eskalasi SITAC
[1.2.21] Approval operator kandidat C
[22.1.21] Update status approval ke Planning SF, masih menunggu atasan planning approve
[4.1.21] Submit New Kandidat C via siteforge
[30.12.20] Kandidat B reject via siteforge. waiting internal review
[28.12.20] Validasi via siteforge kandidat B
[22.12.20] Takeover, Need New Mitra
[14.12.20] Rehunting Kandidat, 16.12.20 submit kandidat
IW OG, Renego BAN
RF validation Done, Candidat Approve
Submit Validasi 7.12.20</t>
  </si>
  <si>
    <t>[30.3.21] Rekom Done
[25.3.21] Rekom Lurah OG
[22.3.21] Realisasi OG, Plan Rekom LC 26.3.21
[16.3.21] Waiting Catra Update eskalasi SITAC
[10.3.21] Nego Eskalasi SITAC
[8.3.21] Eskalasi submit by mitra
[13.2.21] Harga lurah terlalu tinggi, nego  harga lurah 
[9.2.21] Koordinasi lingkungan dan lurah
[4.2.21] IW OG, warga radius clear
[1.2.21] Approval kandidat by operator, Follow Up IW
[26.1.21] Follow Up Pak Dicky terkait miscomm hasil approval titik dan ketinggian. 32m hanya bisa di titik A
[4.1.21] Waiting internal review SF Planning
[22.12.20] Tanya Pak alfian soal KKOP dan Follup Approval SF (Pak Dicky)
[17.12.20] Submit approval kandidat via siteforge
[14.12.20] Proses konfirmasi lahan milik PT. AP
Candidate NY Approve
Submit Validasi 7.12.20</t>
  </si>
  <si>
    <t>[29.3.21] Rekom Done, Start Gali
[17.3.21] Waiting Rekom LC dan SOIL TEST
[15.3.21] Approve eskalasi. IW done
[12.3.21] Approval SF done
[8.3.21] Submit kandidat by siteforge
[26.2.21] Kandidat sebelumnya Surat tanah palsu. Submit kandidat baru 26.2.21 ke siteforge
[3.2.21] Renego eskalasi SITAC
[26.1.21] BAN 20 jt/tahun plan submit eskalasi 26 Jan 21
[19.1.21] Validasi Done Kand A
[30.12.20] STIP Input, Mitra assignment</t>
  </si>
  <si>
    <t>[30.3.21] IW OG minus 5 KK
[10.3.21] Done DRM, Propose to COLO need strengthening. Check ke ASSET</t>
  </si>
  <si>
    <t>V</t>
  </si>
  <si>
    <t>Waiting Update VP, Progres Lapangan Bowplank</t>
  </si>
  <si>
    <t>Waiting Update VP, Progres Lapangan Galian OG</t>
  </si>
  <si>
    <t>[30.3.21] Eskalasi Approve by ARO
[22.3.21] Validation OK, IW Clear, pengajuan eskalasi by mitra
[18.3.21] Validasi to RANE TSEL Kand Q
[9.3.21] Menunggu pihak developer untuk mejawab IW
[8.3.21] Menemui pihak developer untuk meminta jawaban atas ijin warga dan juga ijin developer
[3.3.21] IW Kurang 15 KK (Warga Cluster Baru)
[22.2.21] Kandidat OK by TSEL IW OG</t>
  </si>
  <si>
    <t>NOK</t>
  </si>
  <si>
    <t>Too FAR</t>
  </si>
  <si>
    <t xml:space="preserve"> Need Antenna Height 45</t>
  </si>
  <si>
    <t>0010623840011</t>
  </si>
  <si>
    <t>1265091001</t>
  </si>
  <si>
    <t>031052/TBG-TB/TSEL/MKT/03/2021</t>
  </si>
  <si>
    <t>0010623880011</t>
  </si>
  <si>
    <t>1265101001</t>
  </si>
  <si>
    <t>031056/TBG-TB/TSEL/MKT/03/2021</t>
  </si>
  <si>
    <t>0010624640011</t>
  </si>
  <si>
    <t>0010624650011</t>
  </si>
  <si>
    <t>1130271001</t>
  </si>
  <si>
    <t>1130261001</t>
  </si>
  <si>
    <t>031294/TBG-TB/TSEL/MKT/03/2021</t>
  </si>
  <si>
    <t>031295/TBG-TB/TSEL/MKT/03/2021</t>
  </si>
  <si>
    <t>1319701001</t>
  </si>
  <si>
    <t>031520/TBG-TB/TSEL/MKT/03/2021</t>
  </si>
  <si>
    <t>0010626550011</t>
  </si>
  <si>
    <t>1319711001</t>
  </si>
  <si>
    <t>031521/TBG-TB/TSEL/MKT/03/2021</t>
  </si>
  <si>
    <t>Jl. Kupu Kupu RT 010 RW 005 Kel. Pondok Ranggon Kec. Cipayung Kota Jakarta Utara</t>
  </si>
  <si>
    <t>5.4.21 Submit eskalasi to ARO</t>
  </si>
  <si>
    <t>[6.4.21] Eskalasi SITAC submit
[5.4.21] Kandidat V OK from RANE
[26.3.21] Approval kandidat V to RANE
[22.3.21] Candidate U OK from planning, IW On Going
[19.3.21] Candidate T dan U submit
[9.3.21] Re-hunting kandidat. Kandidat Q failed IW
[3.3.21] IW kurang 15 KK akibat pergeseran kandidat LP2B.
[22.2.21] Kandidat OK by TSEL IW OG</t>
  </si>
  <si>
    <t>Kp. Situhiang RT 001 RW 005 Desa Curugbitung Kecamatan Nanggung Kabupaten Bogor</t>
  </si>
  <si>
    <t>6.4.21 Submit eskalasi to ARO</t>
  </si>
  <si>
    <t>Jl. AMD Bakti Jayapocis RT 08 RW 02 Kel. Bakti Jaya, Kec. Setu, Kota Tangerang Selatan, Provinsi Banten</t>
  </si>
  <si>
    <t>16.000.000/THN, MASA SEWA 20 TAHUN (5+5+5+5)</t>
  </si>
  <si>
    <t>8.4.21 Submit eskalasi to ARO</t>
  </si>
  <si>
    <t>Jl. Mushola Darussalam RT. 001 / RW. 011, Kel Meruyung, Kec Limo, Kota Depok, Prov. Jawa barat</t>
  </si>
  <si>
    <t>ZBGR_4663</t>
  </si>
  <si>
    <t>RESIDENCE</t>
  </si>
  <si>
    <t>NOM ID</t>
  </si>
  <si>
    <t>PROVINCE</t>
  </si>
  <si>
    <t>RF Antenna</t>
  </si>
  <si>
    <t>Propose Tower</t>
  </si>
  <si>
    <t>NOM Long</t>
  </si>
  <si>
    <t>NOM Lat</t>
  </si>
  <si>
    <t>Arahan Kand</t>
  </si>
  <si>
    <t>Lat Kand.</t>
  </si>
  <si>
    <t>Long Kand.</t>
  </si>
  <si>
    <t>[9.3.21] IW OG untuk kandidat Q dan R dengan plan IW 42m
[1.3.21] Bersurat ke PEMKOT tangerang terkait ketinggian antenna</t>
  </si>
  <si>
    <t>Kp. Nangewer RT 012 RW 005 Desa Sukajaya Kecamatan Sukabumi Kabupaten Sukabumi</t>
  </si>
  <si>
    <t>0010680100011</t>
  </si>
  <si>
    <t>0010680110011</t>
  </si>
  <si>
    <t>1271391001</t>
  </si>
  <si>
    <t>CKR338</t>
  </si>
  <si>
    <t>PERUMAHAN KSB</t>
  </si>
  <si>
    <t>1321801001</t>
  </si>
  <si>
    <t>TNX322</t>
  </si>
  <si>
    <t>PASARBARUKARAWACI</t>
  </si>
  <si>
    <t>1271401001</t>
  </si>
  <si>
    <t>CKR330</t>
  </si>
  <si>
    <t>PERUMAHANCIBARUSAHJAYA</t>
  </si>
  <si>
    <t>036987/TBG-TB/TSEL/MKT/04/2021</t>
  </si>
  <si>
    <t>-6.40208</t>
  </si>
  <si>
    <t>107.11406</t>
  </si>
  <si>
    <t>036988/TBG-TB/TSEL/MKT/04/2021</t>
  </si>
  <si>
    <t>-6.16344</t>
  </si>
  <si>
    <t>106.62673</t>
  </si>
  <si>
    <t>036989/TBG-TB/TSEL/MKT/04/2021</t>
  </si>
  <si>
    <t>-6.42799</t>
  </si>
  <si>
    <t>107.07734</t>
  </si>
  <si>
    <t>22.000.000/THN, MASA SEWA 20 TAHUN (5+5+5+5)</t>
  </si>
  <si>
    <t>20.4.21 Submit eskalasi to ARO</t>
  </si>
  <si>
    <t>0230680590231</t>
  </si>
  <si>
    <t>1271491023</t>
  </si>
  <si>
    <t>PAMIJAHAN BOGOR 2</t>
  </si>
  <si>
    <t>037047/TBG-TB/SMART8/MKT/04/2021</t>
  </si>
  <si>
    <t>-6.646675</t>
  </si>
  <si>
    <t>106.647478</t>
  </si>
  <si>
    <t>Approval Planning SF, SAR 3 need pak nimesh dan pak kelpa</t>
  </si>
  <si>
    <t>Re-Hunting kandidat</t>
  </si>
  <si>
    <t>CMF 32</t>
  </si>
  <si>
    <t>PT. Datatel</t>
  </si>
  <si>
    <t>Jl. KS Tubun No 30, RT.005 RW. 03 Kelurahan Koang Jaya, Kec. Krawaci, Kota Tangerang, Provinsi Banten</t>
  </si>
  <si>
    <t>CMI</t>
  </si>
  <si>
    <t>20.000.000/THN, MASA SEWA 10 TAHUN (5+5)</t>
  </si>
  <si>
    <t>4.5.21 Submit eskalasi to ARO</t>
  </si>
  <si>
    <t>Fauzal : 081282637926</t>
  </si>
  <si>
    <t>PT. CMI</t>
  </si>
  <si>
    <t>PANUNGGANGAN BARAT KARAWACI RELOCATION</t>
  </si>
  <si>
    <t>03047667031</t>
  </si>
  <si>
    <t>JAW-BT-TNG-1653</t>
  </si>
  <si>
    <t>131579110</t>
  </si>
  <si>
    <t>Kp. Kebon Kelapa Rt 001/006 Kel Panunggangan Barat  Kec Cibodas Kota Tangerang Kec. Cibodas Kota Tangerang</t>
  </si>
  <si>
    <t>PT. Turangga</t>
  </si>
  <si>
    <t>121.93m</t>
  </si>
  <si>
    <t>459m</t>
  </si>
  <si>
    <t>324m</t>
  </si>
  <si>
    <t>127m</t>
  </si>
  <si>
    <t>MCP 25</t>
  </si>
  <si>
    <t>JSX943</t>
  </si>
  <si>
    <t>CILANDAKBAWAH</t>
  </si>
  <si>
    <t>JUX067</t>
  </si>
  <si>
    <t>ELANGLAUT</t>
  </si>
  <si>
    <t>[21.5.21] Clinic with SF
[12.5.21] Submit New Kandidat
[11.2.21] Jovis with SF
[4.2.21] Kandidat B dan C submitted by mitra, need check material minaret
[26.1.21] Datangi developer untuk pengajuan kerja sama menara telekomunikasi
[5.1.21] Resubmit siteforge
[22.12.20] Mitra submit kandidat baru maksimal 24.12.20
[14.12.20] Plan Submit Kandidat 14.12.20
NY Kandidat</t>
  </si>
  <si>
    <t>33 KK @ Rp 1000000 + 4 KK @Rp 1500000</t>
  </si>
  <si>
    <t>37 KK</t>
  </si>
  <si>
    <t>Kp. Rawa Lindung RT 07/RW 05, Desa Cengklong, Kecamatan Kosambi, Kabupaten Tangerang, Propinsi Banten</t>
  </si>
  <si>
    <t>[4.6.21] Pengajuan email eskalasi ke ARO
[28.5.21] IW Clear kandidat D, waiting submit eskalasi SITAC
[24.5.21] approval operator kandidat D
[5.3.21] Validasi KKOP lewat pak alfian
[23.2.21] Submit Kandidat C tower height 42m
[11.2.21] Reject via siteforge, waiting internal review
[5.2.21] kandidat C Submitted, OG validasi by siteforge
[26.1.21] SITAC panti asuhan, surat tanah panti asuhan diminta
[22.12.20] BAN 19/tahun, SOSWAR OG
[21.12.20] BAN dengan Landlord
[14.12.20] Negosiasi by Phone oleh PM
Negosiasi harga dengan LL untuk Sewa</t>
  </si>
  <si>
    <t>[7.6.21] IW OG, minus 1 KK. Paralel renego harga sewa lahan
[2.6.21] Validasi kandidat S
[10.3.21] Done DRM, Propose to COLO need strengthening. Check ke ASSET</t>
  </si>
  <si>
    <t>[3.6.21] Submit kandidat V ke pak arsyad OK. Make sure IW dan BAN 
[28.5.21] IW Failed, 3 KK penolakan, rehunting kandidat
[27.3.21] Geser Kandidat, Rehuntinh
[22.3.21] IW minus 7 KK
[10.3.21] Go SITAC need height 30m. Kandidat P P1</t>
  </si>
  <si>
    <t>[7.6.21] Proses Landclearing, plan SOIL TEST 8.7.21. Rekom Camat NY waiting rekom PUPR</t>
  </si>
  <si>
    <t>PT CATRA MEDIA INDONESIA</t>
  </si>
  <si>
    <t>[14.6.21] Go SITAC kandidat luar SAR BNP. SST 52m
[1.3.21] Pengajuan ke PWU selaku penanggung jawab telekomunikasi Lippo Village
[24.2.21] Penawaran ke Lippo Village
[23.2.21] Penawaran ke water treatment plant NOK. Waiting marketing LippoKarawaci
[22.2.21] Kandidat NOK</t>
  </si>
  <si>
    <t>[14.6.21] Kandidat luar SAR OK, kandidat jalan BNP
[26.5.21] Submit kandidat OUTSAR tapi INCELL. Blm ada kejelasan dari bu Nikken terkait OK atau tidak
[8.3.21] Waiting Response PT Gajah Tunggal, Propose Rooftop
[1.3.21] Bersurat ke PEMKOT tangerang terkait ketinggian antenna</t>
  </si>
  <si>
    <t>210.25m</t>
  </si>
  <si>
    <t>0010684910011</t>
  </si>
  <si>
    <t>1134051001</t>
  </si>
  <si>
    <t xml:space="preserve">TF71 </t>
  </si>
  <si>
    <t>Alfamart Pantjoran PIK</t>
  </si>
  <si>
    <t>Rukan The Golf D Nomor 050-052 Type Hoek Plus, Kel. Kamal Muara, Kec. Penjaringan, Jakarta Utara, DKI Jakarta</t>
  </si>
  <si>
    <t>Jakarta Utara</t>
  </si>
  <si>
    <t>RT 17.5 + Pole 6</t>
  </si>
  <si>
    <t>Kp Matagara RT 02 RW 02, Desa Matagara, Kecamatan Tigaraksa, Kabupaten Tangerang</t>
  </si>
  <si>
    <t>68 KK</t>
  </si>
  <si>
    <t>60,5</t>
  </si>
  <si>
    <t>Kp Tonjong RT 03 RW 03, Kelurahan Cibitung Wetan, Kecamatan Pamijahan, Kabupaten Bogor</t>
  </si>
  <si>
    <t>Heri : 081380225151</t>
  </si>
  <si>
    <t>[21.6.21] Approval Siteforge
[4.6.21] Submit titik kandidat D ke siteforge
[23.5.21] Switch Mitra ke Orlie
[4.2.21] Reject via siteforge, waiting internal review
[3.2.21] Submitted kandidat to siteforge
[2.2.21] New Kandidat submit, need discuss with Planning
[26.1.21] Take over mitra
[22.12.20] Submit Re-Hunting mitra, Target 24.12.20, paralel Mitra Pengkondisian Kandidat A
[19.12.20] Bertemu ketua lingkungan , pembahasan planning soswar
[14.12.20] Proses validasi SF, Paralel IW follow up SOSWAR 17.12.20
Submit Validasi 7.12.20</t>
  </si>
  <si>
    <t>W</t>
  </si>
  <si>
    <t>Harga Asli</t>
  </si>
  <si>
    <t>Kp Malaka RT 001 RW 006, Desa Cibarusah Kota, Kec. Cibarusah, Kab. Bekasi, Jawa Barat</t>
  </si>
  <si>
    <t>1321901001</t>
  </si>
  <si>
    <t>0010685800011</t>
  </si>
  <si>
    <t>0010680090011</t>
  </si>
  <si>
    <t>038350/TBG-TB/TSEL/MKT/06/2021</t>
  </si>
  <si>
    <t>0230686620231</t>
  </si>
  <si>
    <t>0230686800231</t>
  </si>
  <si>
    <t>0230686810231</t>
  </si>
  <si>
    <t>0230687020231</t>
  </si>
  <si>
    <t>0230687030231</t>
  </si>
  <si>
    <t>0230687710231</t>
  </si>
  <si>
    <t>0230687720231</t>
  </si>
  <si>
    <t>0230687850231</t>
  </si>
  <si>
    <t>0230687860231</t>
  </si>
  <si>
    <t>0230687880231</t>
  </si>
  <si>
    <t>0230687940231</t>
  </si>
  <si>
    <t>1321931023</t>
  </si>
  <si>
    <t>1134171023</t>
  </si>
  <si>
    <t>1134181023</t>
  </si>
  <si>
    <t>1134221023</t>
  </si>
  <si>
    <t>1134231023</t>
  </si>
  <si>
    <t>1134321023</t>
  </si>
  <si>
    <t>1134331023</t>
  </si>
  <si>
    <t>1322021023</t>
  </si>
  <si>
    <t>1134341023</t>
  </si>
  <si>
    <t>1272121023</t>
  </si>
  <si>
    <t>ZJKT2_6180</t>
  </si>
  <si>
    <t>ZJKT2_5300</t>
  </si>
  <si>
    <t>INJB21_0272</t>
  </si>
  <si>
    <t>INJB21_0283</t>
  </si>
  <si>
    <t>HUNew_JKT24157</t>
  </si>
  <si>
    <t>ZJKT2_6031</t>
  </si>
  <si>
    <t>ZJKT2_6428</t>
  </si>
  <si>
    <t>ZJKT2_4619</t>
  </si>
  <si>
    <t>ZBGR_4687</t>
  </si>
  <si>
    <t>HUNew_BDG5992-2</t>
  </si>
  <si>
    <t>TANGERANG KOSAMBI</t>
  </si>
  <si>
    <t>PKP JAKARTA BARAT CENGKARENG</t>
  </si>
  <si>
    <t>PKP JAKARTA BARAT TAMBORA</t>
  </si>
  <si>
    <t>PKP KALI DERES JAKARTA BARAT</t>
  </si>
  <si>
    <t>PKP PENJARINGAN JAKARTA UTARA</t>
  </si>
  <si>
    <t>JAKARTA BARAT CENGKARENG-1</t>
  </si>
  <si>
    <t>JAKARTA BARAT CENGKARENG-2</t>
  </si>
  <si>
    <t>TANGERANG CIPONDOH</t>
  </si>
  <si>
    <t>JAKARTA UTARA PADEMANGAN</t>
  </si>
  <si>
    <t>BOGOR BOJONG GEDE</t>
  </si>
  <si>
    <t>SUKABUMI CIKIDANG</t>
  </si>
  <si>
    <t>039423/TBG-TB/SMART8/MKT/07/2021</t>
  </si>
  <si>
    <t>039661/TBG-PKP/SMART8/MKT/07/2021</t>
  </si>
  <si>
    <t>039662/TBG-PKP/SMART8/MKT/07/2021</t>
  </si>
  <si>
    <t>039715/TBG-PKP/SMART8/MKT/07/2021</t>
  </si>
  <si>
    <t>039716/TBG-PKP/SMART8/MKT/07/2021</t>
  </si>
  <si>
    <t>039819/TBG-TB/SMART8/MKT/07/2021</t>
  </si>
  <si>
    <t>039820/TBG-TB/SMART8/MKT/07/2021</t>
  </si>
  <si>
    <t>039833/TBG-TB/SMART8/MKT/07/2021</t>
  </si>
  <si>
    <t>039834/TBG-TB/SMART8/MKT/07/2021</t>
  </si>
  <si>
    <t>039836/TBG-TB/SMART8/MKT/07/2021</t>
  </si>
  <si>
    <t>039842/TBG-TB/SMART8/MKT/07/2021</t>
  </si>
  <si>
    <t>28m</t>
  </si>
  <si>
    <t>[8.7.21] Need Confirmation IW dan BAN kandidat A. JR selesai, siteforge blm ready. Validasi NY</t>
  </si>
  <si>
    <t>[8.7.21] Geser titik kandidat, Kandidat rooftop A menolak</t>
  </si>
  <si>
    <t>[8.7.21] BAN 20jt. Kandidat A IW Potensi tinggi</t>
  </si>
  <si>
    <t>[8.7.21] Need Siteforge validation dan Nego BAN. Update IW potensi clear</t>
  </si>
  <si>
    <t>[8.7.21] Submit kandidat A, BAN 20 jt need nego. Siteforge NY ready</t>
  </si>
  <si>
    <t>[8.7.21] SOIL TEST Done, Rekom LC OG
[6.7.21] Eskalasi Done Approve
[3.7.21] RANE OK kandidat Q, Submit eskalasi
[16.6.21] NOK from Sales, rehunting KLS
[27.5.21] Submit kandidat ke pak arsyad, OUTSAR tapi INCELL. Plan submit ke bu nikken untuk dibahas terkait jaraknya
[20.4.21] Rehunting kearah incell</t>
  </si>
  <si>
    <t>[7.7.21] menunggu BAN dari BPD dan Kades, legal lahan fix lahan desa
[6.7.21] Kandidat Q Approve RANE</t>
  </si>
  <si>
    <t>[8.7.21] Propose Colo to TBG, paralel hunting 2 kandidat. Siteforge NY Ready</t>
  </si>
  <si>
    <t>[8.7.21] Makesure BAN. Titik Kandidat A. Siteforge NY Ready</t>
  </si>
  <si>
    <t>[8.7.21] Rehunting, titik kandidat sementara OUTSAR. Siteforge NY Ready</t>
  </si>
  <si>
    <t>[8.7.21] Rehunting, sebelumnya titik order ke TBG 2020, Hard SITAC</t>
  </si>
  <si>
    <t>[8.7.21] Makesure BAN dan Detail bangunan. Titik Kandidat A Rooftop. Siteforge NY Ready</t>
  </si>
  <si>
    <t>RT +  MT</t>
  </si>
  <si>
    <t>OUTCELL</t>
  </si>
  <si>
    <t>77 KK</t>
  </si>
  <si>
    <t>RT + MT</t>
  </si>
  <si>
    <t>62m</t>
  </si>
  <si>
    <t>Kp. Banyusuci RT. 004 RW. 004 Desa leuwimekar kec. Leuwiliang kab. Bogor</t>
  </si>
  <si>
    <t>0010688680011</t>
  </si>
  <si>
    <t>1134381001</t>
  </si>
  <si>
    <t>040792/TBG-TB/TSEL/MKT/07/2021</t>
  </si>
  <si>
    <t>-6.28701</t>
  </si>
  <si>
    <t>106.80065</t>
  </si>
  <si>
    <t/>
  </si>
  <si>
    <t>0010688670011</t>
  </si>
  <si>
    <t>1134371001</t>
  </si>
  <si>
    <t>040791/TBG-TB/TSEL/MKT/07/2021</t>
  </si>
  <si>
    <t>-6.12779</t>
  </si>
  <si>
    <t>106.74943</t>
  </si>
  <si>
    <t>0230688650231</t>
  </si>
  <si>
    <t>1272251023</t>
  </si>
  <si>
    <t>INJB21_0322</t>
  </si>
  <si>
    <t>KARAWANG MAJALAYA</t>
  </si>
  <si>
    <t>040779/TBG-TB/SMART8/MKT/07/2021</t>
  </si>
  <si>
    <t>-6.313947</t>
  </si>
  <si>
    <t>107.35046</t>
  </si>
  <si>
    <t>0230688640231</t>
  </si>
  <si>
    <t>ZBGR_4655</t>
  </si>
  <si>
    <t>BOGOR SUKARAJA</t>
  </si>
  <si>
    <t>040778/TBG-TB/SMART8/MKT/07/2021</t>
  </si>
  <si>
    <t>-6.542636</t>
  </si>
  <si>
    <t>106.82084</t>
  </si>
  <si>
    <t>OK GO SITAC</t>
  </si>
  <si>
    <t>[15.7.21] IW Done, Rekom waiting 1 week
[25.3.21] Rekom Lurah On Going
[16.3.21] Approval eskalasi Done, Request Soil done
[3.3.21] Nego harga sitac lapangan
[23.2.21] Waiting eskalasi submit by mitra, pengajuan geser sedikit 15m to RANE
[18.2.21] Submit Kandidat C to Siteforge
[11.2.21] Jovis with SF
[4.2.21] Kandidat C submitted by mitra OG validation siteforge
[26.1.21] Take over mitra
[30.12.20] STIP Input, Mitra assignment</t>
  </si>
  <si>
    <t>PT ORLIE</t>
  </si>
  <si>
    <t>Heri : +62 81380225151</t>
  </si>
  <si>
    <t>JUX075</t>
  </si>
  <si>
    <t>SWASEMBADABARATJAKUT</t>
  </si>
  <si>
    <t>JBX309</t>
  </si>
  <si>
    <t>GAGASEMANAN</t>
  </si>
  <si>
    <t>JTX537</t>
  </si>
  <si>
    <t>RAYAPONCOL</t>
  </si>
  <si>
    <t>JL. CILANDAK BAWAH RT 010.RW 013 CILANDAK BARAT, CILANDAK, JAKARTA SELATAN</t>
  </si>
  <si>
    <t>Reboin : 081298832281</t>
  </si>
  <si>
    <t>PT KLS</t>
  </si>
  <si>
    <t>86,4m</t>
  </si>
  <si>
    <t>Kp Parakan Jati RT 004 RW 004, Desa Susukan, Kecamatan Bojon Geda, Kabupaten Bogor</t>
  </si>
  <si>
    <t>18.000.000/THN, MASA SEWA 20 TAHUN (10+10)</t>
  </si>
  <si>
    <t>25.7.21 Submit eskalasi to ARO</t>
  </si>
  <si>
    <t>26.7.21 Submit eskalasi to ARO</t>
  </si>
  <si>
    <t>Iron : 081617668742</t>
  </si>
  <si>
    <t>PT. LBL</t>
  </si>
  <si>
    <t>YEAR RFI</t>
  </si>
  <si>
    <t>Kp Kresek RT 04 RW 07, Desa Rawaburung, Kec. Kosambi, Kab. Tangerang, Banten</t>
  </si>
  <si>
    <t>500000 + 1500000</t>
  </si>
  <si>
    <t>September</t>
  </si>
  <si>
    <t>Agustus</t>
  </si>
  <si>
    <t>(Multiple Items)</t>
  </si>
  <si>
    <t>SLA</t>
  </si>
  <si>
    <t>OUT SLA</t>
  </si>
  <si>
    <t>IN SLA</t>
  </si>
  <si>
    <t>Column Labels</t>
  </si>
  <si>
    <t>Count of SONum</t>
  </si>
  <si>
    <t>Kp. Wagir II RT 067 RW 06, Desa Bengle, Kec. Majalaya, Kab. Karawang, Jawa Barat</t>
  </si>
  <si>
    <t>CME</t>
  </si>
  <si>
    <t>Aging SLA</t>
  </si>
  <si>
    <t>0010685930011</t>
  </si>
  <si>
    <t>0010690930011</t>
  </si>
  <si>
    <t>0010690940011</t>
  </si>
  <si>
    <t>0010690920011</t>
  </si>
  <si>
    <t>1134141001</t>
  </si>
  <si>
    <t>1134481001</t>
  </si>
  <si>
    <t>1134491001</t>
  </si>
  <si>
    <t>1134471001</t>
  </si>
  <si>
    <t>ALFAMART PANTJORAN PIK</t>
  </si>
  <si>
    <t>039081/TBG-PKP/TSEL/MKT/06/2021</t>
  </si>
  <si>
    <t>-6.08979</t>
  </si>
  <si>
    <t>106.74383</t>
  </si>
  <si>
    <t>6</t>
  </si>
  <si>
    <t>041580/TBG-PKP/TSEL/MKT/07/2021</t>
  </si>
  <si>
    <t>-6.166582</t>
  </si>
  <si>
    <t>106.702146</t>
  </si>
  <si>
    <t>PT. NAYAKA</t>
  </si>
  <si>
    <t>041581/TBG-PKP/TSEL/MKT/07/2021</t>
  </si>
  <si>
    <t>-6.320899</t>
  </si>
  <si>
    <t>106.870287</t>
  </si>
  <si>
    <t>041579/TBG-PKP/TSEL/MKT/07/2021</t>
  </si>
  <si>
    <t>-6.122359</t>
  </si>
  <si>
    <t>106.888589</t>
  </si>
  <si>
    <t>0070681390071</t>
  </si>
  <si>
    <t>1133721007</t>
  </si>
  <si>
    <t>094686R</t>
  </si>
  <si>
    <t>EX MAHONI SELATAN</t>
  </si>
  <si>
    <t>037230/TBG-PKP/HCPT/MKT/04/2021</t>
  </si>
  <si>
    <t>-6.1161</t>
  </si>
  <si>
    <t>106.91436</t>
  </si>
  <si>
    <t>Bulan Forecast</t>
  </si>
  <si>
    <t>LT</t>
  </si>
  <si>
    <t>Oktober</t>
  </si>
  <si>
    <t>Jan-Jul</t>
  </si>
  <si>
    <t>Ags-Des</t>
  </si>
  <si>
    <t>H3I</t>
  </si>
  <si>
    <t>0230691590231</t>
  </si>
  <si>
    <t>1322071023</t>
  </si>
  <si>
    <t>ZJKT_6991</t>
  </si>
  <si>
    <t>KOTA TANGERANG CIPONDOH</t>
  </si>
  <si>
    <t>041752/TBG-TB/SMART8/MKT/08/2021</t>
  </si>
  <si>
    <t>-6.17658</t>
  </si>
  <si>
    <t>106.6926</t>
  </si>
  <si>
    <t>69 KK</t>
  </si>
  <si>
    <t>500000 + 1000000</t>
  </si>
  <si>
    <t>Kp Cibogo Kulon RT 001 RW 002, Desa Kelapa Dua, Kecamatan Kelapa Dua, Kab. Tangerang</t>
  </si>
  <si>
    <t>Pole 9m</t>
  </si>
  <si>
    <t>0030696360031</t>
  </si>
  <si>
    <t>1134551003</t>
  </si>
  <si>
    <t>PULAU BIDADARI</t>
  </si>
  <si>
    <t>JAW-JK-KSU-1132</t>
  </si>
  <si>
    <t>042492/TBG-TB/XL/MKT/08/2021</t>
  </si>
  <si>
    <t>Kp. Simpang RT 002 RW 005, Desa Pangkalan, Kec. Cikidang, Kab Sukabumi</t>
  </si>
  <si>
    <t>PT. CATRA MEDIA INDONESIA</t>
  </si>
  <si>
    <t>0230691670231</t>
  </si>
  <si>
    <t>1272421023</t>
  </si>
  <si>
    <t>ZBGR_4212</t>
  </si>
  <si>
    <t>PKP KAREHKEL BOGOR</t>
  </si>
  <si>
    <t>041786/TBG-PKP/SMART8/MKT/08/2021</t>
  </si>
  <si>
    <t>-6.553646</t>
  </si>
  <si>
    <t>106.639913</t>
  </si>
  <si>
    <t>62</t>
  </si>
  <si>
    <t>MEKARWANGITANAHSEREAL</t>
  </si>
  <si>
    <t>PARUNG PANJANGJAGABITA</t>
  </si>
  <si>
    <t>RAYAKRONJOMEKARBARU</t>
  </si>
  <si>
    <t>TGR543</t>
  </si>
  <si>
    <t>BOX048</t>
  </si>
  <si>
    <t>CBN471</t>
  </si>
  <si>
    <t>MT</t>
  </si>
  <si>
    <t>MT 25m</t>
  </si>
  <si>
    <t>SRG284</t>
  </si>
  <si>
    <t>KAREOJAWILAN</t>
  </si>
  <si>
    <t>Ruko Telaga Bestari RT 008 RW 05 Desa Wanakerta, Kecamatan Sindang Jaya, Kabupaten Tangerang</t>
  </si>
  <si>
    <t>RT 8 + MT 25</t>
  </si>
  <si>
    <t>PDG123</t>
  </si>
  <si>
    <t>DESAPANGGUKINGAN</t>
  </si>
  <si>
    <t>PANDEGLANG</t>
  </si>
  <si>
    <t>RKB078</t>
  </si>
  <si>
    <t>JALUPANGMULYA</t>
  </si>
  <si>
    <t>TGR542</t>
  </si>
  <si>
    <t>RANCAGEDEGUNUNGKALER</t>
  </si>
  <si>
    <t>RT 8  + MT 25</t>
  </si>
  <si>
    <t>SST 72</t>
  </si>
  <si>
    <t>CLG115</t>
  </si>
  <si>
    <t>BENDUNGANCILEGON</t>
  </si>
  <si>
    <t>KRW252</t>
  </si>
  <si>
    <t>KARAWANG BARATMEKARJATI</t>
  </si>
  <si>
    <t>KRW256</t>
  </si>
  <si>
    <t>KRW262</t>
  </si>
  <si>
    <t>CILAMAYA KULONPASIRJAYA</t>
  </si>
  <si>
    <t>KRW263</t>
  </si>
  <si>
    <t>Cikarang Cilamaya Wetan</t>
  </si>
  <si>
    <t>CBN521</t>
  </si>
  <si>
    <t>RUMPINTAMANSARI</t>
  </si>
  <si>
    <t>PWK083</t>
  </si>
  <si>
    <t>SMKN3SUKATANIPWK</t>
  </si>
  <si>
    <t>PWK085</t>
  </si>
  <si>
    <t>SMKN1DARANGDANPURWAKARTA</t>
  </si>
  <si>
    <t>JABAR</t>
  </si>
  <si>
    <t>PURWAKARTA</t>
  </si>
  <si>
    <t>Jl. Swasembada Barat RT 011 RW 013, Kelurahan Kebon Bawang, Kecamatan Tanjung Priok, Kota Jakarta Utara</t>
  </si>
  <si>
    <t>SKB155</t>
  </si>
  <si>
    <t>TANJUNGJAMPANGKULON</t>
  </si>
  <si>
    <t>KOTA CILEGON</t>
  </si>
  <si>
    <t>TGR433</t>
  </si>
  <si>
    <t>RAJEG_TANJAKAN MEKAR</t>
  </si>
  <si>
    <t>33 KK</t>
  </si>
  <si>
    <t>RUMPINTAMASARI</t>
  </si>
  <si>
    <t>Kp. Cibuluheun RT 003 RW 009, Desa Tamansari, Kecamatan Rumpin, Kabupaten Bogor</t>
  </si>
  <si>
    <t>Kp. Sukatani RT 04 RW 02, Desa Jalupang Mulya, Kecamatan Leuwidamar, Kabupaten Lebak</t>
  </si>
  <si>
    <t>Kp. Cirembang RT 001 RW 003 Desa Koroncong, Kec. Koroncong, Kab. Pandeglang</t>
  </si>
  <si>
    <t>TGR546</t>
  </si>
  <si>
    <t>SOLEARTANGERANG</t>
  </si>
  <si>
    <t>PLR012</t>
  </si>
  <si>
    <t>SUDAJAYAGIRANGSKB</t>
  </si>
  <si>
    <t>CBN483</t>
  </si>
  <si>
    <t>CARINGINBOCIMI</t>
  </si>
  <si>
    <t>Kp. Bolang Pabrik, Desa Ranca Gede, Kecamatan Gunung Kaler, Kabupaten Tangerang</t>
  </si>
  <si>
    <t>PT. PJA</t>
  </si>
  <si>
    <t>Kp. Asan RT 002 RW 001, Desa Pasirjaya, Kecamatan Cilamaya Kulon, Kabupaten Karawang</t>
  </si>
  <si>
    <t>Angga : 089691459292</t>
  </si>
  <si>
    <t>Yudin : 081298521940</t>
  </si>
  <si>
    <t>0010704530011</t>
  </si>
  <si>
    <t>0010704590011</t>
  </si>
  <si>
    <t>0010704480011</t>
  </si>
  <si>
    <t>0260703940261</t>
  </si>
  <si>
    <t>0010704600011</t>
  </si>
  <si>
    <t>0010704630011</t>
  </si>
  <si>
    <t>0010704500011</t>
  </si>
  <si>
    <t>0010704550011</t>
  </si>
  <si>
    <t>0010704570011</t>
  </si>
  <si>
    <t>0010704620011</t>
  </si>
  <si>
    <t>0010704560011</t>
  </si>
  <si>
    <t>0010704640011</t>
  </si>
  <si>
    <t>0010704650011</t>
  </si>
  <si>
    <t>0010704520011</t>
  </si>
  <si>
    <t>0010704670011</t>
  </si>
  <si>
    <t>0010704490011</t>
  </si>
  <si>
    <t>0010704540011</t>
  </si>
  <si>
    <t>0010704610011</t>
  </si>
  <si>
    <t>0010704660011</t>
  </si>
  <si>
    <t>0010704510011</t>
  </si>
  <si>
    <t>0010704580011</t>
  </si>
  <si>
    <t>1273621001</t>
  </si>
  <si>
    <t>1322471001</t>
  </si>
  <si>
    <t>1273591001</t>
  </si>
  <si>
    <t>1134811026</t>
  </si>
  <si>
    <t>1273671001</t>
  </si>
  <si>
    <t>1273691001</t>
  </si>
  <si>
    <t>1273601001</t>
  </si>
  <si>
    <t>1273641001</t>
  </si>
  <si>
    <t>1273651001</t>
  </si>
  <si>
    <t>1273681001</t>
  </si>
  <si>
    <t>1322461001</t>
  </si>
  <si>
    <t>1322491001</t>
  </si>
  <si>
    <t>1273701001</t>
  </si>
  <si>
    <t>1322451001</t>
  </si>
  <si>
    <t>1322511001</t>
  </si>
  <si>
    <t>1322441001</t>
  </si>
  <si>
    <t>1273631001</t>
  </si>
  <si>
    <t>1322481001</t>
  </si>
  <si>
    <t>1322501001</t>
  </si>
  <si>
    <t>1273611001</t>
  </si>
  <si>
    <t>1273661001</t>
  </si>
  <si>
    <t>JKB-TBG21-0001</t>
  </si>
  <si>
    <t>DURI  TAMBORA</t>
  </si>
  <si>
    <t>CIKARANG CILAMAYA WETAN</t>
  </si>
  <si>
    <t>TBG KLARI</t>
  </si>
  <si>
    <t>TBG</t>
  </si>
  <si>
    <t>044436/TBG-TB/TSEL/MKT/09/2021</t>
  </si>
  <si>
    <t>-6.73225</t>
  </si>
  <si>
    <t>107.4976</t>
  </si>
  <si>
    <t>52</t>
  </si>
  <si>
    <t>044442/TBG-TB/TSEL/MKT/09/2021</t>
  </si>
  <si>
    <t>-6.03402</t>
  </si>
  <si>
    <t>106.05061</t>
  </si>
  <si>
    <t>044431/TBG-TB/TSEL/MKT/09/2021</t>
  </si>
  <si>
    <t>-6.19333</t>
  </si>
  <si>
    <t>107.52742</t>
  </si>
  <si>
    <t>043924/TBG-TB/TBG/MKT/09/2021</t>
  </si>
  <si>
    <t>-6.154541</t>
  </si>
  <si>
    <t>106.803271</t>
  </si>
  <si>
    <t>9</t>
  </si>
  <si>
    <t>044443/TBG-TB/TSEL/MKT/09/2021</t>
  </si>
  <si>
    <t>-6.54738</t>
  </si>
  <si>
    <t>106.7873</t>
  </si>
  <si>
    <t>044446/TBG-TB/TSEL/MKT/09/2021</t>
  </si>
  <si>
    <t>-6.88618</t>
  </si>
  <si>
    <t>106.94962</t>
  </si>
  <si>
    <t>044433/TBG-TB/TSEL/MKT/09/2021</t>
  </si>
  <si>
    <t>-6.27009</t>
  </si>
  <si>
    <t>107.54675</t>
  </si>
  <si>
    <t>044438/TBG-TB/TSEL/MKT/09/2021</t>
  </si>
  <si>
    <t>-6.32951</t>
  </si>
  <si>
    <t>106.51726</t>
  </si>
  <si>
    <t>044440/TBG-TB/TSEL/MKT/09/2021</t>
  </si>
  <si>
    <t>-6.60919</t>
  </si>
  <si>
    <t>107.39166</t>
  </si>
  <si>
    <t>044445/TBG-TB/TSEL/MKT/09/2021</t>
  </si>
  <si>
    <t>-6.68864</t>
  </si>
  <si>
    <t>106.82696</t>
  </si>
  <si>
    <t>044439/TBG-TB/TSEL/MKT/09/2021</t>
  </si>
  <si>
    <t>-6.52753</t>
  </si>
  <si>
    <t>106.22568</t>
  </si>
  <si>
    <t>044447/TBG-TB/TSEL/MKT/09/2021</t>
  </si>
  <si>
    <t>-6.28988</t>
  </si>
  <si>
    <t>106.4025</t>
  </si>
  <si>
    <t>044448/TBG-TB/TSEL/MKT/09/2021</t>
  </si>
  <si>
    <t>-6.40421</t>
  </si>
  <si>
    <t>106.61632</t>
  </si>
  <si>
    <t>044435/TBG-TB/TSEL/MKT/09/2021</t>
  </si>
  <si>
    <t>-6.10103</t>
  </si>
  <si>
    <t>106.5318</t>
  </si>
  <si>
    <t>044450/TBG-TB/TSEL/MKT/09/2021</t>
  </si>
  <si>
    <t>-6.08935</t>
  </si>
  <si>
    <t>106.38714</t>
  </si>
  <si>
    <t>044432/TBG-TB/TSEL/MKT/09/2021</t>
  </si>
  <si>
    <t>-6.278</t>
  </si>
  <si>
    <t>106.16816</t>
  </si>
  <si>
    <t>044437/TBG-TB/TSEL/MKT/09/2021</t>
  </si>
  <si>
    <t>-6.24426</t>
  </si>
  <si>
    <t>107.29665</t>
  </si>
  <si>
    <t>044444/TBG-TB/TSEL/MKT/09/2021</t>
  </si>
  <si>
    <t>-6.24999</t>
  </si>
  <si>
    <t>106.34715</t>
  </si>
  <si>
    <t>044449/TBG-TB/TSEL/MKT/09/2021</t>
  </si>
  <si>
    <t>-6.04723</t>
  </si>
  <si>
    <t>106.40115</t>
  </si>
  <si>
    <t>044434/TBG-TB/TSEL/MKT/09/2021</t>
  </si>
  <si>
    <t>-6.34738</t>
  </si>
  <si>
    <t>107.35659</t>
  </si>
  <si>
    <t>044441/TBG-TB/TSEL/MKT/09/2021</t>
  </si>
  <si>
    <t>-7.24782</t>
  </si>
  <si>
    <t>106.62646</t>
  </si>
  <si>
    <t>PT. AKSES FEMTO INDONESIA</t>
  </si>
  <si>
    <t>0230700230231</t>
  </si>
  <si>
    <t>1322361023</t>
  </si>
  <si>
    <t>INJB21_0107</t>
  </si>
  <si>
    <t>TANGERANG TELUKNAGA</t>
  </si>
  <si>
    <t>043102/TBG-TB/SMART8/MKT/08/2021</t>
  </si>
  <si>
    <t>-6.06795</t>
  </si>
  <si>
    <t>106.6453</t>
  </si>
  <si>
    <t>0230700270231</t>
  </si>
  <si>
    <t>0230700240231</t>
  </si>
  <si>
    <t>1322371023</t>
  </si>
  <si>
    <t>INJB21_0174</t>
  </si>
  <si>
    <t>TANGERANG JAYANTI</t>
  </si>
  <si>
    <t>1273391023</t>
  </si>
  <si>
    <t>HUNew_BGR4379-1</t>
  </si>
  <si>
    <t>BOGOR BOJONG GEDE-2</t>
  </si>
  <si>
    <t>043106/TBG-TB/SMART8/MKT/08/2021</t>
  </si>
  <si>
    <t>-6.21707</t>
  </si>
  <si>
    <t>106.41086</t>
  </si>
  <si>
    <t>043103/TBG-TB/SMART8/MKT/08/2021</t>
  </si>
  <si>
    <t>-6.46242</t>
  </si>
  <si>
    <t>106.80435</t>
  </si>
  <si>
    <t>PT. PAMENGKANG JAGAT ABADI</t>
  </si>
  <si>
    <t>PT. TRITAMA AJI LAKSANA</t>
  </si>
  <si>
    <t>PT. SURYASANTIKA INFRASTURKTUR</t>
  </si>
  <si>
    <t>CKR349</t>
  </si>
  <si>
    <t>BOX045</t>
  </si>
  <si>
    <t>BUKITCIMANGGUCITY</t>
  </si>
  <si>
    <t>CIPEUCANG</t>
  </si>
  <si>
    <t>TELAGAMURNICIKARANGBARAT</t>
  </si>
  <si>
    <t>CKR360</t>
  </si>
  <si>
    <t>CKR361</t>
  </si>
  <si>
    <t>WALUYACIKARANGUTARA</t>
  </si>
  <si>
    <t>Hunting</t>
  </si>
  <si>
    <t>JTX539</t>
  </si>
  <si>
    <t>PERMANENASRAMAHAJI</t>
  </si>
  <si>
    <t>Kp. Situ pete RT. 01/10 Kel. Sukadamai Kec. Tanah Sereal Kota Bogor</t>
  </si>
  <si>
    <t>PT. AFI</t>
  </si>
  <si>
    <t>Dave : 087773922777</t>
  </si>
  <si>
    <t>Kp Jawiah RT 02 RW 01 Kelurahan Jagabita, Kecamatan Parung Panjang, Kab Bogor</t>
  </si>
  <si>
    <t>9 KK</t>
  </si>
  <si>
    <t>RAJEG_TANJAKANMEKAR</t>
  </si>
  <si>
    <t>57 KK</t>
  </si>
  <si>
    <t>1000000 + 500000</t>
  </si>
  <si>
    <t>Kp. Paya Umbul RT.13/RW 05 Desa Junti, Kec. Jawilan, Kab. Serang</t>
  </si>
  <si>
    <t>Kp. Sukamanah RT 04 RW 03, Desa Solear, Kecamatan Solear, Kabupaten Tangerang</t>
  </si>
  <si>
    <t>Kp. Jungkel RT 10 RW 04, Kel. Tanjakan Mekar, Kecamatan Rajeg, Kab. Tangerang</t>
  </si>
  <si>
    <t>Fahmi : 082311769797</t>
  </si>
  <si>
    <t>Nurdiansyah : 081385545728</t>
  </si>
  <si>
    <t>PT. RMB</t>
  </si>
  <si>
    <t>PT. Tritama</t>
  </si>
  <si>
    <t>H. BAPING</t>
  </si>
  <si>
    <t>2500000 + 1000000</t>
  </si>
  <si>
    <t>BANTARSARIRANCABUNGUR</t>
  </si>
  <si>
    <t>CBN480</t>
  </si>
  <si>
    <t>0030705690031</t>
  </si>
  <si>
    <t>1274061003</t>
  </si>
  <si>
    <t>Pondok Ungu Permai Relocation</t>
  </si>
  <si>
    <t>JAW-JB-CKR-0068</t>
  </si>
  <si>
    <t>-6.179669</t>
  </si>
  <si>
    <t>Jl Masjid RT 11 RW 07 Kelurahan Susukan Kecamatan Ciracas Kota Jakarta Timur</t>
  </si>
  <si>
    <t>Stacking 6m + MT 25m</t>
  </si>
  <si>
    <t>2000000 + 500000</t>
  </si>
  <si>
    <t>500000 + 300000</t>
  </si>
  <si>
    <t>Blok Palasari RT 23 RW 07, Kelurahan Sudajayagirang, kecamatan Sukabumi, Kab. Sukabumi</t>
  </si>
  <si>
    <t>0230707220231</t>
  </si>
  <si>
    <t>1274311023</t>
  </si>
  <si>
    <t>IN20_JB_0117</t>
  </si>
  <si>
    <t>BOGOR RUMPIN</t>
  </si>
  <si>
    <t>045936/TBG-TB/SMART8/MKT/09/2021</t>
  </si>
  <si>
    <t>-6.383769</t>
  </si>
  <si>
    <t>106.630629</t>
  </si>
  <si>
    <t>JL Raya Kronjo – Jenggot RT 005/RW 002 Desa Muncung, Kecamatan Kronjo, Kabupaten Tangerang</t>
  </si>
  <si>
    <t>Rehunting</t>
  </si>
  <si>
    <t>SITAC Done</t>
  </si>
  <si>
    <t>Rahadian</t>
  </si>
  <si>
    <t>Rinaldi</t>
  </si>
  <si>
    <t>CKR363</t>
  </si>
  <si>
    <t>PERMANENRAYAPEBANYURANN</t>
  </si>
  <si>
    <t>CBN623</t>
  </si>
  <si>
    <t>PERMANENCOMBATTIRTAWARNARUMPIN</t>
  </si>
  <si>
    <t>TGR553</t>
  </si>
  <si>
    <t>PERMANENDRIYACATANIA</t>
  </si>
  <si>
    <t>BOX049</t>
  </si>
  <si>
    <t>PERMANENCOMBATRAYASEMPLAK</t>
  </si>
  <si>
    <t>CKR368</t>
  </si>
  <si>
    <t>PERMANENPERUMSERANGSELALU</t>
  </si>
  <si>
    <t>TGR555</t>
  </si>
  <si>
    <t>PERMANENDANGDANGCISAUK2</t>
  </si>
  <si>
    <t>CBN614</t>
  </si>
  <si>
    <t>PERMANENLEBAKWANGI2</t>
  </si>
  <si>
    <t>JTX541</t>
  </si>
  <si>
    <t>PERMANENCOMBATPTPUTIK</t>
  </si>
  <si>
    <t>CKR366</t>
  </si>
  <si>
    <t>PERMANENPERUMPERMATAINDAH</t>
  </si>
  <si>
    <t>CKR367</t>
  </si>
  <si>
    <t>PERMANENPTIDEMITSU</t>
  </si>
  <si>
    <t>BKX430</t>
  </si>
  <si>
    <t>PERMANENCOMBATPERUMPTMBEKASI</t>
  </si>
  <si>
    <t>CKR364</t>
  </si>
  <si>
    <t>PERMANENKAREDOKCIBARUSAH</t>
  </si>
  <si>
    <t>BKX431</t>
  </si>
  <si>
    <t>PERMANENCOMBATJAKAPERMAI</t>
  </si>
  <si>
    <t>CBN618</t>
  </si>
  <si>
    <t>PERMANENKERTAJAYARUMPIN</t>
  </si>
  <si>
    <t>CKR346</t>
  </si>
  <si>
    <t>KARANGSETIAKARANGBAHAGIA</t>
  </si>
  <si>
    <t>CBN500</t>
  </si>
  <si>
    <t>PT. ABBASY</t>
  </si>
  <si>
    <t>Action Plan</t>
  </si>
  <si>
    <t>Waiting Disposisi PDAM</t>
  </si>
  <si>
    <t>DROP</t>
  </si>
  <si>
    <t>Done RFI site COLO</t>
  </si>
  <si>
    <t>Done</t>
  </si>
  <si>
    <t>Hold by SF</t>
  </si>
  <si>
    <t>Change Plan from XL</t>
  </si>
  <si>
    <t>0230708380231</t>
  </si>
  <si>
    <t>1274421023</t>
  </si>
  <si>
    <t>ZBGR_4578</t>
  </si>
  <si>
    <t>PABUARAN BOJONG GEDE</t>
  </si>
  <si>
    <t>Pabuaran Bojong Gede</t>
  </si>
  <si>
    <t>046205/TBG-TB/SMART8/MKT/09/2021</t>
  </si>
  <si>
    <t>-6.4554</t>
  </si>
  <si>
    <t>106.79749</t>
  </si>
  <si>
    <t>Kp. Kubang RT 11 RW 05, Kelurahan Jatisari, Kecamatan Cileungsi, Kab. Bogor</t>
  </si>
  <si>
    <t xml:space="preserve">To far </t>
  </si>
  <si>
    <t>PKP KAHREKEL BOGOR</t>
  </si>
  <si>
    <t>1000000 + 750000 + 300000</t>
  </si>
  <si>
    <t>Kp. Cimahi RT 010 RW 006 Desa Cikarang, Kecamatan Cilamaya Wetan, Kab. Karawang</t>
  </si>
  <si>
    <t>Dusun Kopo RT 008 RW 002 Desa Klari, Kecamatan Klari, Kab Karawang</t>
  </si>
  <si>
    <t>Kp. Secang RT 01 RW 08, Kel.,Mekarjati, Kec. Karawang Barat, Kab. Tangerang</t>
  </si>
  <si>
    <t>72m</t>
  </si>
  <si>
    <t>27/0/2021</t>
  </si>
  <si>
    <t>(blank)</t>
  </si>
  <si>
    <t>0010708690011</t>
  </si>
  <si>
    <t>1274441001</t>
  </si>
  <si>
    <t>046309/TBG-TB/TSEL/MKT/09/2021</t>
  </si>
  <si>
    <t>-6.5293</t>
  </si>
  <si>
    <t>106.7435</t>
  </si>
  <si>
    <t>0010708710011</t>
  </si>
  <si>
    <t>1274461001</t>
  </si>
  <si>
    <t>046311/TBG-TB/TSEL/MKT/09/2021</t>
  </si>
  <si>
    <t>-6.53534</t>
  </si>
  <si>
    <t>106.78978</t>
  </si>
  <si>
    <t>0010708730011</t>
  </si>
  <si>
    <t>1274481001</t>
  </si>
  <si>
    <t>046313/TBG-TB/TSEL/MKT/09/2021</t>
  </si>
  <si>
    <t>-6.41207</t>
  </si>
  <si>
    <t>107.05146</t>
  </si>
  <si>
    <t>0010709060011</t>
  </si>
  <si>
    <t>1274511001</t>
  </si>
  <si>
    <t>046396/TBG-TB/TSEL/MKT/09/2021</t>
  </si>
  <si>
    <t>-6.23078</t>
  </si>
  <si>
    <t>107.26785</t>
  </si>
  <si>
    <t>0010708680011</t>
  </si>
  <si>
    <t>1134881001</t>
  </si>
  <si>
    <t>046308/TBG-TB/TSEL/MKT/09/2021</t>
  </si>
  <si>
    <t>-6.28582</t>
  </si>
  <si>
    <t>106.88461</t>
  </si>
  <si>
    <t>0010709080011</t>
  </si>
  <si>
    <t>1274531001</t>
  </si>
  <si>
    <t>046400/TBG-TB/TSEL/MKT/09/2021</t>
  </si>
  <si>
    <t>-6.55816</t>
  </si>
  <si>
    <t>106.76346</t>
  </si>
  <si>
    <t>0010709120011</t>
  </si>
  <si>
    <t>1274551001</t>
  </si>
  <si>
    <t>046404/TBG-TB/TSEL/MKT/09/2021</t>
  </si>
  <si>
    <t>-6.37718</t>
  </si>
  <si>
    <t>106.63531</t>
  </si>
  <si>
    <t>1322591001</t>
  </si>
  <si>
    <t>0010709110011</t>
  </si>
  <si>
    <t>046403/TBG-TB/TSEL/MKT/09/2021</t>
  </si>
  <si>
    <t>-6.3567</t>
  </si>
  <si>
    <t>106.62048</t>
  </si>
  <si>
    <t>1322581001</t>
  </si>
  <si>
    <t>0010709100011</t>
  </si>
  <si>
    <t>046402/TBG-TB/TSEL/MKT/09/2021</t>
  </si>
  <si>
    <t>-6.27635</t>
  </si>
  <si>
    <t>106.53189</t>
  </si>
  <si>
    <t>0010709070011</t>
  </si>
  <si>
    <t>1274521001</t>
  </si>
  <si>
    <t>046398/TBG-TB/TSEL/MKT/09/2021</t>
  </si>
  <si>
    <t>-6.43032</t>
  </si>
  <si>
    <t>106.54474</t>
  </si>
  <si>
    <t>0010709090011</t>
  </si>
  <si>
    <t>1274541001</t>
  </si>
  <si>
    <t>046401/TBG-TB/TSEL/MKT/09/2021</t>
  </si>
  <si>
    <t>-6.39291</t>
  </si>
  <si>
    <t>107.15075</t>
  </si>
  <si>
    <t>0230707930231</t>
  </si>
  <si>
    <t>0230707770231</t>
  </si>
  <si>
    <t>1274391023</t>
  </si>
  <si>
    <t>INBGR4334-3</t>
  </si>
  <si>
    <t>PAMIJAHAN BOGOR 3</t>
  </si>
  <si>
    <t>1322571023</t>
  </si>
  <si>
    <t>INJB21_0244</t>
  </si>
  <si>
    <t>TANGERANG LEGOK</t>
  </si>
  <si>
    <t>Pamijahan Bogor 3</t>
  </si>
  <si>
    <t>046160/TBG-TB/SMART8/MKT/09/2021</t>
  </si>
  <si>
    <t>046144/TBG-TB/SMART8/MKT/09/2021</t>
  </si>
  <si>
    <t>-6.60809</t>
  </si>
  <si>
    <t>106.6679</t>
  </si>
  <si>
    <t>-6.30039</t>
  </si>
  <si>
    <t>106.585</t>
  </si>
  <si>
    <t>Count of Site ID</t>
  </si>
  <si>
    <t>Kp. Dukuh  RT 011 RW.004  Desa Dangdang Kecamatan Cisauk Kabupaten Tangerang</t>
  </si>
  <si>
    <t>Kp. Parung Panjang Lebak RT. 002 RW. 007 Desa Leuwiliang Kecamatan Leuwiliang Kabupaten Bogor Prov. Jawa Barat</t>
  </si>
  <si>
    <t>0010708700011</t>
  </si>
  <si>
    <t>1274451001</t>
  </si>
  <si>
    <t>0010708720011</t>
  </si>
  <si>
    <t>1274471001</t>
  </si>
  <si>
    <t>Paralel IW untuk lahan kandidat baru, Kandidat NY submit siteforge</t>
  </si>
  <si>
    <t>Validasi Kandidat terakhir dengan ketinggian 72m di siteforge</t>
  </si>
  <si>
    <t>IW site permanent dan COMBAT. Site permanent rooftop dengan 10m+25m. Paralel nego ke planning</t>
  </si>
  <si>
    <t>Follow Up by Pak Kamto</t>
  </si>
  <si>
    <t>Rekom Lurah terdelay karena ada provokator. Lahan altirnatif IW OG minus 1 RT, paralel di validasikan</t>
  </si>
  <si>
    <t>Waiting Rekom Camat Senin 04.10</t>
  </si>
  <si>
    <t>Done RFI COMBAT, NY RFC, Rekom Camat W2 Oktober</t>
  </si>
  <si>
    <t>Hard Space, issue di warga dan perangkat lingkungan</t>
  </si>
  <si>
    <t>No Need RFC (No SITAC)</t>
  </si>
  <si>
    <t>Rehunting kandidat alternati untuk rooftop</t>
  </si>
  <si>
    <t>Rekom Camat Release, Delay CME Comcase penolakan warga. Plan rehunting kandidat</t>
  </si>
  <si>
    <t>Approval ketinggian antenna</t>
  </si>
  <si>
    <t>Hard Space, lahan kebanyakan didominasi pabrik</t>
  </si>
  <si>
    <t>Need Rehunting masalah SPL</t>
  </si>
  <si>
    <t>IW OG, door to door. BAN ke pemilik lahan (corporate</t>
  </si>
  <si>
    <t>Propose Drop</t>
  </si>
  <si>
    <t>Done SITAC, update VP OG</t>
  </si>
  <si>
    <t>Dokumen Rekom Camat NY, issue permintaan harga camat</t>
  </si>
  <si>
    <t>Lahan corporate milik UPT Asrama haji</t>
  </si>
  <si>
    <t>Lahan corporate milik PT Bumi Cipta Lestari</t>
  </si>
  <si>
    <t>0230707780231</t>
  </si>
  <si>
    <t>1274361023</t>
  </si>
  <si>
    <t>ZBGR_4576</t>
  </si>
  <si>
    <t>BOGOR SUKARAJA 2</t>
  </si>
  <si>
    <t>046145/TBG-TB/SMART8/MKT/09/2021</t>
  </si>
  <si>
    <t>-6.518757</t>
  </si>
  <si>
    <t>106.843372</t>
  </si>
  <si>
    <t>DAYEUHLUHURWARUDOYONG</t>
  </si>
  <si>
    <t>KARET SEPATAN TANGERANG</t>
  </si>
  <si>
    <t>CISAIT KRAGILAN</t>
  </si>
  <si>
    <t>GRIYA SUKATANI MEKARSARI</t>
  </si>
  <si>
    <t>GRIYA SUKATANI MEKARSARI_Rev</t>
  </si>
  <si>
    <t>PASIRMUKTI CITEUREUP</t>
  </si>
  <si>
    <t>JALAN RAYA PUSPITEK</t>
  </si>
  <si>
    <t>Kp Karang Sambung RT 008 RW 004 Desa Nagasari, Kec. Serang Baru, Kabupaten Bekasi</t>
  </si>
  <si>
    <t>Pademangan IV GG 28/30, Kelurahan Pademangan Timur, Kecamatan Pademangan, Kota Jakarta Utara</t>
  </si>
  <si>
    <t>RAGUNANRAYA</t>
  </si>
  <si>
    <t>Kp Legok Nyerang RT 002 RW 007 Desa Sukamulya Kecamatan Rumpin, Kab. Rumpin</t>
  </si>
  <si>
    <t>PT Tritama</t>
  </si>
  <si>
    <t>PT Aulia</t>
  </si>
  <si>
    <t>Anggia : 087870951715</t>
  </si>
  <si>
    <t>NY Validate</t>
  </si>
  <si>
    <t>KOSAMBI KRESEK</t>
  </si>
  <si>
    <t>Lahan LP2B, tidak bisa digunakan untuk pembangunan</t>
  </si>
  <si>
    <t>DRM NOK</t>
  </si>
  <si>
    <t>NOK (19.03.21), Kontur tanah rendah</t>
  </si>
  <si>
    <t>IW Failed, Penolakan warga Luar Radius</t>
  </si>
  <si>
    <t>Need Approval</t>
  </si>
  <si>
    <t>RT 12m + MT20m</t>
  </si>
  <si>
    <t>NOK DRM</t>
  </si>
  <si>
    <t>Issue Legalitas Lahan</t>
  </si>
  <si>
    <t>RT 8m + MT 20m</t>
  </si>
  <si>
    <t>Issue Legalitas Lahan, IW Failed</t>
  </si>
  <si>
    <t>Monopole 25m</t>
  </si>
  <si>
    <t>Lahan internal PWU</t>
  </si>
  <si>
    <t>Existing TBG</t>
  </si>
  <si>
    <t>Kandidat hasil Join Survey, Penolakan dari RT dan RW</t>
  </si>
  <si>
    <t>Tidak sesuai skema TBG, penolakan warga</t>
  </si>
  <si>
    <t>Lahan di dalam gang sempit, CME erection manual</t>
  </si>
  <si>
    <t>OK DRM, MCP 25m</t>
  </si>
  <si>
    <t>RT 8 + MT 25m</t>
  </si>
  <si>
    <t>IW failed penolakan warga</t>
  </si>
  <si>
    <t>Monopole 32m</t>
  </si>
  <si>
    <t>IW failed, Penolakan warga Luar Radius (Cluster)</t>
  </si>
  <si>
    <t>Ada penolakan dari pihak pengontrak ruko</t>
  </si>
  <si>
    <t>RT 7m + MT 25m</t>
  </si>
  <si>
    <t>OK, IW Failed : penolakan 3 KK</t>
  </si>
  <si>
    <t>Propose Colo MCP 20</t>
  </si>
  <si>
    <t>SKB896</t>
  </si>
  <si>
    <t>GUNUNGJAYACISAAT</t>
  </si>
  <si>
    <t>Lahan LP2B</t>
  </si>
  <si>
    <t>Legalitas lahan</t>
  </si>
  <si>
    <t>X</t>
  </si>
  <si>
    <t xml:space="preserve">OK, IW Failed </t>
  </si>
  <si>
    <t>Kandidat Terlalu Jauh</t>
  </si>
  <si>
    <t>Failed</t>
  </si>
  <si>
    <t>OK RANE 30.6.21</t>
  </si>
  <si>
    <t>Terlalu Jauh, Kurang Grid</t>
  </si>
  <si>
    <t>OK DRM, IW Failed. Penolakan dari pabrik</t>
  </si>
  <si>
    <t>NOK, kurang Grid</t>
  </si>
  <si>
    <t>OK RANE</t>
  </si>
  <si>
    <t>NOK, Terlalu Jauh dari NOM</t>
  </si>
  <si>
    <t>NOK, Near Existing</t>
  </si>
  <si>
    <t>Kandidat OK (Jovis) IW Failed</t>
  </si>
  <si>
    <t>OK 30.06, Failed IW</t>
  </si>
  <si>
    <t>OK, IW Failed</t>
  </si>
  <si>
    <t>RT 15 + Pole 15</t>
  </si>
  <si>
    <t>DURIUTARA2</t>
  </si>
  <si>
    <t>RT 12m + POLE 6m</t>
  </si>
  <si>
    <t>RT 18m + POLE 6m</t>
  </si>
  <si>
    <t>Cand P, Priority 1</t>
  </si>
  <si>
    <t>Cand Q, Priority 2</t>
  </si>
  <si>
    <t>Cand R, NOK</t>
  </si>
  <si>
    <t>Cand R, Priority 3</t>
  </si>
  <si>
    <t>OK, GO SITAC</t>
  </si>
  <si>
    <t>Cand P, Priority 2</t>
  </si>
  <si>
    <t>Cand Q, NOK</t>
  </si>
  <si>
    <t>Cand R, Priority 1</t>
  </si>
  <si>
    <t>Cand P, NOK</t>
  </si>
  <si>
    <t>OK, DRM 15.09</t>
  </si>
  <si>
    <t>KLARI</t>
  </si>
  <si>
    <t>Cand Q, Priority 1</t>
  </si>
  <si>
    <t>Cand R, Priority 2</t>
  </si>
  <si>
    <t>Cand S, Priority 3</t>
  </si>
  <si>
    <t>Cand S, OK</t>
  </si>
  <si>
    <t>Cand P, OK</t>
  </si>
  <si>
    <t>OK, IW Failed, Penolakan dari RT dan RW</t>
  </si>
  <si>
    <t>NOK RANE, Too FAR</t>
  </si>
  <si>
    <t>Need Re-Review</t>
  </si>
  <si>
    <t>IW Failed di ketinggian 42 (6KK)</t>
  </si>
  <si>
    <t>Need Review</t>
  </si>
  <si>
    <t>106. 79103</t>
  </si>
  <si>
    <t xml:space="preserve">CBN500 </t>
  </si>
  <si>
    <t>OK, Priority 1</t>
  </si>
  <si>
    <t>OK, Priority 2</t>
  </si>
  <si>
    <t xml:space="preserve">CKR346 </t>
  </si>
  <si>
    <t xml:space="preserve">KARANGSETIAKARANGBAHAGIA </t>
  </si>
  <si>
    <t>NOK, need rehunting Near NOM propose COMBAT 42m</t>
  </si>
  <si>
    <t>KARANGANYARBAHAGIA</t>
  </si>
  <si>
    <t>NOK RANE, DRM 15.09</t>
  </si>
  <si>
    <t>Need Review RTPE</t>
  </si>
  <si>
    <t>OK, Solusi COMBAT 42m</t>
  </si>
  <si>
    <t>NOK, Propose lahan masjid INCELL</t>
  </si>
  <si>
    <t>Need Review, Jarak ke NOM 230m titik INCELL</t>
  </si>
  <si>
    <t>OK, P1</t>
  </si>
  <si>
    <t>Too Far From NOM</t>
  </si>
  <si>
    <t>NOK RTPE DRM 16.09</t>
  </si>
  <si>
    <t>NOK RTPE DRM 18.09</t>
  </si>
  <si>
    <t>Kp. Neglababakan RT 06 RW 05, Desa Tanjung, Kecamatan Jampang Kulon, Kabupaten Sukabumi</t>
  </si>
  <si>
    <t>106.6114</t>
  </si>
  <si>
    <t>-6.38541</t>
  </si>
  <si>
    <t xml:space="preserve">KKOP bandara </t>
  </si>
  <si>
    <t xml:space="preserve">Justifikasi Report, </t>
  </si>
  <si>
    <t>PT. DWI PILAR PRATAMA</t>
  </si>
  <si>
    <t>[14.10] IW Clear, Approval Kandidat masih di bu Reni. Follow Up Approval titik kandidat hari ini sampai clear RF Planning
IW OG masih 1 KK yang pendekatan dengan RT RW, paralel hunting kandidat</t>
  </si>
  <si>
    <t>[14.10] Galian done, Rekom Camat NY Release
IW OG, SOSWAR 03.10</t>
  </si>
  <si>
    <t>Submit eskalasi SITAC 14.10</t>
  </si>
  <si>
    <t>Validasi OG</t>
  </si>
  <si>
    <t>RFC system error</t>
  </si>
  <si>
    <t>Done SITAC, update VP OG, system error</t>
  </si>
  <si>
    <t>Eskalasi Approve done, OG Rekom</t>
  </si>
  <si>
    <t>KKOP bandara ATANGSANJAYA, need up Clinic</t>
  </si>
  <si>
    <t>Need justifikasi untuk approval kand T</t>
  </si>
  <si>
    <t>Update RFC on System</t>
  </si>
  <si>
    <t>JAKARTA BARAT CENGKARENG - 1</t>
  </si>
  <si>
    <t>Kapuk RT 010 RW 012, Kelurahan Kapuk, Kecamatan Cengkareng, Kota Jakarta Barat</t>
  </si>
  <si>
    <t>Need Update TBGSys</t>
  </si>
  <si>
    <t>Kp Panongan RT.01 RW.04, Desa Panongan, Kec. Panongan, Kab. Tangerang</t>
  </si>
  <si>
    <t>JAW-JK-CKG-0743</t>
  </si>
  <si>
    <t>RAYA BOGOR RELOCATION</t>
  </si>
  <si>
    <t>06°20'35.16" S</t>
  </si>
  <si>
    <t>06°20'38.76" S</t>
  </si>
  <si>
    <t>06°20'31.56" S</t>
  </si>
  <si>
    <t>106°52'10.56" E</t>
  </si>
  <si>
    <t>106°52'09.84" E</t>
  </si>
  <si>
    <t>106°52'07.32" E</t>
  </si>
  <si>
    <t>NY Secure</t>
  </si>
  <si>
    <t>0010714700011</t>
  </si>
  <si>
    <t>1275301001</t>
  </si>
  <si>
    <t>047729/TBG-TB/TSEL/MKT/10/2021</t>
  </si>
  <si>
    <t>-6.25926</t>
  </si>
  <si>
    <t>107.1906</t>
  </si>
  <si>
    <t>0260713990261</t>
  </si>
  <si>
    <t>1135101026</t>
  </si>
  <si>
    <t>JKS-TBG21-0001</t>
  </si>
  <si>
    <t>047620/TBG-TB/TBG/MKT/10/2021</t>
  </si>
  <si>
    <t>-6.282181</t>
  </si>
  <si>
    <t>106.83391</t>
  </si>
  <si>
    <t>1135001003</t>
  </si>
  <si>
    <t>0030712640031</t>
  </si>
  <si>
    <t>047275/TBG-PKP/XL/MKT/10/2021</t>
  </si>
  <si>
    <t>-6.34322</t>
  </si>
  <si>
    <t>106.869</t>
  </si>
  <si>
    <t>0010714690011</t>
  </si>
  <si>
    <t>1275291001</t>
  </si>
  <si>
    <t>047728/TBG-TB/TSEL/MKT/10/2021</t>
  </si>
  <si>
    <t>-6.40507</t>
  </si>
  <si>
    <t>107.08378</t>
  </si>
  <si>
    <t>045223/TBG-TB/XL/MKT/09/2021</t>
  </si>
  <si>
    <t>046310/TBG-TB/TSEL/MKT/09/2021</t>
  </si>
  <si>
    <t>-6.20118</t>
  </si>
  <si>
    <t>107.18568</t>
  </si>
  <si>
    <t>046312/TBG-TB/TSEL/MKT/09/2021</t>
  </si>
  <si>
    <t>-6.24663</t>
  </si>
  <si>
    <t>107.1228</t>
  </si>
  <si>
    <t>047727/TBG-TB/TSEL/MKT/10/2021</t>
  </si>
  <si>
    <t>-6.38655</t>
  </si>
  <si>
    <t>106.61019</t>
  </si>
  <si>
    <t>1275281001</t>
  </si>
  <si>
    <t>0010714680011</t>
  </si>
  <si>
    <t>0010714570011</t>
  </si>
  <si>
    <t>1135111001</t>
  </si>
  <si>
    <t>047716/TBG-TB/TSEL/MKT/10/2021</t>
  </si>
  <si>
    <t>-6.18925</t>
  </si>
  <si>
    <t>106.92519</t>
  </si>
  <si>
    <t>0010714710011</t>
  </si>
  <si>
    <t>1275311001</t>
  </si>
  <si>
    <t>047730/TBG-TB/TSEL/MKT/10/2021</t>
  </si>
  <si>
    <t>-6.21825</t>
  </si>
  <si>
    <t>107.1747</t>
  </si>
  <si>
    <t>0010714820011</t>
  </si>
  <si>
    <t>1135191001</t>
  </si>
  <si>
    <t>JBX313</t>
  </si>
  <si>
    <t>RELOCKOSAMBIBARU</t>
  </si>
  <si>
    <t>047746/TBG-PKP/TSEL/MKT/10/2021</t>
  </si>
  <si>
    <t>-6.17858</t>
  </si>
  <si>
    <t>106.7166</t>
  </si>
  <si>
    <t>45 kk</t>
  </si>
  <si>
    <t>0040714980041</t>
  </si>
  <si>
    <t>1275381004</t>
  </si>
  <si>
    <t>03SUK682</t>
  </si>
  <si>
    <t>UBRUG_WARUNGKIARA_SUK</t>
  </si>
  <si>
    <t>ISAT</t>
  </si>
  <si>
    <t>048048/TBG-TB/ISAT/MKT/10/2021</t>
  </si>
  <si>
    <t>-6.953746</t>
  </si>
  <si>
    <t>106.748922</t>
  </si>
  <si>
    <t>1000000 + 300000</t>
  </si>
  <si>
    <t>46 KK</t>
  </si>
  <si>
    <t>Kp. Pintu Air RT 001 RW 009, Kelurahan Pabuaran, Kecamatan Bojong Gede, Kab. Bogor</t>
  </si>
  <si>
    <t>Jln Kampung Wate RT 03 RW 04, Desa Karang Mekar. Kecamatan Kedungwaringin, Kab. Bekasi, Jawa Barat</t>
  </si>
  <si>
    <t>Jln Kampung Sri Bodas RT 03 RW 09 Desa Telaga Murni, Kecamatan Cikarang Barat, Kab. Bekasi</t>
  </si>
  <si>
    <t>PT. Abbasy</t>
  </si>
  <si>
    <t>Dickson : 08118883611</t>
  </si>
  <si>
    <t>OK RTPE, Failed IW</t>
  </si>
  <si>
    <t>Kand R OK RTPE, Penolakan 6KK warga rebahan</t>
  </si>
  <si>
    <t>Failed. IW issue di warga cluster</t>
  </si>
  <si>
    <t>NOK RTPE</t>
  </si>
  <si>
    <t>Kp. Kemang RT 002/RW 004, Desa Mekarsari, Kecamatan Rumpin, Bogor</t>
  </si>
  <si>
    <t>OK RTPE DRM 19.09. IW Failed penolakan warga cluster</t>
  </si>
  <si>
    <t>TEGALBULEUD_TEGALBULEUD_SUK</t>
  </si>
  <si>
    <t>0040714960041</t>
  </si>
  <si>
    <t>0040714990041</t>
  </si>
  <si>
    <t>1275361004</t>
  </si>
  <si>
    <t>03CKR841</t>
  </si>
  <si>
    <t>CILANGKARA_SERANGBARU_CKR</t>
  </si>
  <si>
    <t>1275391004</t>
  </si>
  <si>
    <t>03SUK700</t>
  </si>
  <si>
    <t>KARANGMEKAR_CIMANGGU_SUK</t>
  </si>
  <si>
    <t>048046/TBG-TB/ISAT/MKT/10/2021</t>
  </si>
  <si>
    <t>-6.395015</t>
  </si>
  <si>
    <t>107.148203</t>
  </si>
  <si>
    <t>048049/TBG-TB/ISAT/MKT/10/2021</t>
  </si>
  <si>
    <t>-7.244779</t>
  </si>
  <si>
    <t>106.650542</t>
  </si>
  <si>
    <t>048047/TBG-TB/ISAT/MKT/10/2021</t>
  </si>
  <si>
    <t>-7.41698</t>
  </si>
  <si>
    <t>106.783271</t>
  </si>
  <si>
    <t>1275371004</t>
  </si>
  <si>
    <t>03SUK692</t>
  </si>
  <si>
    <t>0040714970041</t>
  </si>
  <si>
    <t>Jalan Raya Kencana RT 05 RW 02, Kelurahan Kencana, Kecamatan Tanah Sereal, Kota Bogor</t>
  </si>
  <si>
    <t>Danang : 081280349804</t>
  </si>
  <si>
    <t>PT. Sinfra</t>
  </si>
  <si>
    <t xml:space="preserve">Kp. Kramat RT 012/RW 003, Desa Sumurbandung, Kec. Jayanti, Kab. Tangerang </t>
  </si>
  <si>
    <t>74 KK</t>
  </si>
  <si>
    <t>IDEMITSU</t>
  </si>
  <si>
    <t>Jl. K. H. Musatmil, Kelurahan Karang Asem, Kecamatan Cibeber, Kota Cilegon</t>
  </si>
  <si>
    <t>Kp Batununggul RT 03/RW 02, Desa Karangmekar, Kecamatan Cimanggu, Kab. Sukabumi, Jawa Barat</t>
  </si>
  <si>
    <t>Kp. Rawadomba RT 013 RW 006 Desa Sukabunga Kec. Bojongmangu, Kabupaten Bekasi, Jawa Barat</t>
  </si>
  <si>
    <t>Kp Karang Anyar RT 001 RW 005 Desa Tegal Bulued, Kecamatan Tegal Bulued Kab Bekasi</t>
  </si>
  <si>
    <t>PERMANENBOJONGKONENGKM0</t>
  </si>
  <si>
    <t>CBN620</t>
  </si>
  <si>
    <t>Kp. Babakan Rawahaur RT 03 RW 05, Desa Sentul, Kec. Babakan, Kab. Bogor</t>
  </si>
  <si>
    <t>Kp. Kedaung RT 001 RW 005, Desa Karang Anyar, Kecamatan Karang Bahagia, Kab. Bekasi</t>
  </si>
  <si>
    <t>Robi : 082218823364</t>
  </si>
  <si>
    <t>PT. DPP</t>
  </si>
  <si>
    <t>OK, P1. IW Failed, Penolakan Warga</t>
  </si>
  <si>
    <t>OK, Lanjut sitac</t>
  </si>
  <si>
    <t>Jl. Bantarsari RT 01 RW 06, Desa Bantarsari, Kecamatan Rancabungur, Kabupaten Bogor</t>
  </si>
  <si>
    <t>Titik OK, Plan RF 41m</t>
  </si>
  <si>
    <t>Kp. Sampora RT 015 RW 007 Desa Jayamulya, Kec. Serang Baru, Kabupaten Bekasi, Jawa Barat</t>
  </si>
  <si>
    <t>Jalan Kenanga RT 003/RW 001, Kelurahan Kenanga, Kecamatan CIpondoh,Kabupaten Tangerang</t>
  </si>
  <si>
    <t>PT. Aulia</t>
  </si>
  <si>
    <t>IW Failed, Penolakan warga arah selatan</t>
  </si>
  <si>
    <t>106. 97254</t>
  </si>
  <si>
    <t>Perumahan Mutiara Pluit Blok C6 No.38 RT02 RW11 Kelurahan Periuk  Kecamatan Periuk Kota Tangerang Provinsi Banten</t>
  </si>
  <si>
    <t>SST 42 (3 Legs)</t>
  </si>
  <si>
    <t>SST 42 (4 Legs)</t>
  </si>
  <si>
    <t>1500000 + 1000000</t>
  </si>
  <si>
    <t>Kp. Cimayang Asem RT 06 RW 02, Desa Cimayang, Kecamatan Pamijahan, Kabupaten Bogor</t>
  </si>
  <si>
    <t>Current Progress Status</t>
  </si>
  <si>
    <t>PROBLEM ISSUE</t>
  </si>
  <si>
    <t>JABO OUTER</t>
  </si>
  <si>
    <t>TANGERANG KOTA</t>
  </si>
  <si>
    <t>SITAC - BAN/BAK</t>
  </si>
  <si>
    <t>LAHAN CORPORATE</t>
  </si>
  <si>
    <t>Masih menunggu review permohonan kita dengan PT Gajah Tunggal</t>
  </si>
  <si>
    <t>SITAC - REHUNTING</t>
  </si>
  <si>
    <t>KKOP, PENOLAKAN WARGA</t>
  </si>
  <si>
    <t xml:space="preserve">menunggu Konfirmasi ketinggian yang diperbolehkan dari pihak KKOP untuk kandidat R untuk dikirim ke RTPE, </t>
  </si>
  <si>
    <t>KAWASAN PERUMAHAN</t>
  </si>
  <si>
    <t>Approval Titik Kandidat Q MCP 25 NOK dari RTPE. Rehunting untuk arahan baru pihak RTPE</t>
  </si>
  <si>
    <t>Kand Q NOK. Arahan Hunting dari RTPE mendapat penolakan dari Kawasan Gudang (PT. Rafael), Area Curam, dan Lahan kebanyakan tidak mau disewa. Alternatif kandidat masih menunggu konfirmasi dari pemilik lahan</t>
  </si>
  <si>
    <t>SITAC - APPROVAL KANDIDAT</t>
  </si>
  <si>
    <t>Approval Titik Kandidat R (MCP 25). Lokasi disamping titik COMBAT</t>
  </si>
  <si>
    <t>SENGKETA LAHAN, PENOLAKAN WARGA</t>
  </si>
  <si>
    <t>IW Failed kand P dan Kand S. Kandidat Q dan R NOK dari RTPE. Arahan RTPE mengalami penolakan warga dan area lahan sengketa. Pengajuan titik kandidat Q  ke RTPE. Justifikasi Report sudah di lampirkan.</t>
  </si>
  <si>
    <t>PENOLAKAN WARGA</t>
  </si>
  <si>
    <t>Plan pertemuan dengan yayasan Lajnah Khairiyah Musytarakah Jakarta (Yayasan Pondok Pesantren Al-Matuq) minggu depan untuk membahas masalah sewa menyewa lahan untuk tower. Kandidat Alternatif masih dalam proses review RTPE</t>
  </si>
  <si>
    <t>107.012981</t>
  </si>
  <si>
    <t>Drop</t>
  </si>
  <si>
    <t>OK RTPE, Failed IW, akses ke site blocking developer</t>
  </si>
  <si>
    <t>65 KK</t>
  </si>
  <si>
    <t>750000 + 500000</t>
  </si>
  <si>
    <t>Kp. Sukadamai RT 06 RW 08, Desa Pangkalan, Kecamatan Teluknaga, Kabupaten Tangerang</t>
  </si>
  <si>
    <t>Ardha : 08122122082</t>
  </si>
  <si>
    <t>Penolakan warga terkait akses lahan</t>
  </si>
  <si>
    <t>(All)</t>
  </si>
  <si>
    <t>DELAY</t>
  </si>
  <si>
    <t>ONTIME</t>
  </si>
  <si>
    <t>0010719630011</t>
  </si>
  <si>
    <t>1275471001</t>
  </si>
  <si>
    <t>049332/TBG-TB/TSEL/MKT/11/2021</t>
  </si>
  <si>
    <t>NOK, titik kurang optimal untuk antenna</t>
  </si>
  <si>
    <t>0230720970231</t>
  </si>
  <si>
    <t>0230721390231</t>
  </si>
  <si>
    <t>0230721630231</t>
  </si>
  <si>
    <t>0230721360231</t>
  </si>
  <si>
    <t>1275521023</t>
  </si>
  <si>
    <t>INBDG4152-3</t>
  </si>
  <si>
    <t>SUKABUMI CARINGIN</t>
  </si>
  <si>
    <t>1322631023</t>
  </si>
  <si>
    <t>INJB21_0327</t>
  </si>
  <si>
    <t>SERANG CARENANG</t>
  </si>
  <si>
    <t>1275581023</t>
  </si>
  <si>
    <t>HUNew_BDG4854-1</t>
  </si>
  <si>
    <t>SUKABUMI KADUDAMPIT</t>
  </si>
  <si>
    <t>1275561023</t>
  </si>
  <si>
    <t>INBGR4075-2</t>
  </si>
  <si>
    <t>BOGOR CIBUNGBULANG</t>
  </si>
  <si>
    <t>050288/TBG-TB/SMART8/MKT/12/2021</t>
  </si>
  <si>
    <t>-6.851537</t>
  </si>
  <si>
    <t>106.884227</t>
  </si>
  <si>
    <t>050330/TBG-TB/SMART8/MKT/12/2021</t>
  </si>
  <si>
    <t>-6.09652</t>
  </si>
  <si>
    <t>106.305026</t>
  </si>
  <si>
    <t>050354/TBG-TB/SMART8/MKT/12/2021</t>
  </si>
  <si>
    <t>-6.855159</t>
  </si>
  <si>
    <t>106.924334</t>
  </si>
  <si>
    <t>050327/TBG-TB/SMART8/MKT/12/2021</t>
  </si>
  <si>
    <t>-6.580568</t>
  </si>
  <si>
    <t>106.668079</t>
  </si>
  <si>
    <t>WEST JAVA</t>
  </si>
  <si>
    <t>JABODETABEK</t>
  </si>
  <si>
    <t>129m</t>
  </si>
  <si>
    <t>Kp Legok Nyerang RT 001 RW 007 Desa Sukamulya Kecamatan Rumpin, Kab. Rumpin</t>
  </si>
  <si>
    <t>2000000 + 1000000</t>
  </si>
  <si>
    <t>UBRUG</t>
  </si>
  <si>
    <t>Permata Indah</t>
  </si>
  <si>
    <t>Kp. Cicatih RT. 05 RW 05 Desa. Cimanggu Kec. Cikembar Kab. Sukabumi</t>
  </si>
  <si>
    <t>10 Tahun</t>
  </si>
  <si>
    <t>0010722760011</t>
  </si>
  <si>
    <t>1275671001</t>
  </si>
  <si>
    <t>PT. Rotua</t>
  </si>
  <si>
    <t>050598/TBG-TB/TSEL/MKT/12/2021</t>
  </si>
  <si>
    <t>1275741001</t>
  </si>
  <si>
    <t>0010722830011</t>
  </si>
  <si>
    <t>106.97314</t>
  </si>
  <si>
    <t>-6.25363</t>
  </si>
  <si>
    <t>050586/TBG-TB/TSEL/MKT/12/2021</t>
  </si>
  <si>
    <t>Kampung Baleker RT 004/RW 004 Desa Waringin Jaya Kec. Kedung Waringin Kab. Bekasi</t>
  </si>
  <si>
    <t>Pondok Jingga, RT.003/RW.013, Kel. Jaka Setia, Kec. Bekasi Selatan, Kota Bekasi, Jawa Barat</t>
  </si>
  <si>
    <t>Yusuf : 085314917853</t>
  </si>
  <si>
    <t>KP. CIHEULAGIRANG RT 007 RW 003, DESA SUKAMULYA, KEC. CARINGIN, KAB. SUKABUMI</t>
  </si>
  <si>
    <t>sonumb</t>
  </si>
  <si>
    <t>site_id</t>
  </si>
  <si>
    <t>site_id_opr</t>
  </si>
  <si>
    <t>sitename_opr</t>
  </si>
  <si>
    <t>Site_Type</t>
  </si>
  <si>
    <t>STIPCategory</t>
  </si>
  <si>
    <t>operator_id</t>
  </si>
  <si>
    <t>company_id</t>
  </si>
  <si>
    <t>No_FPKI_STIP</t>
  </si>
  <si>
    <t>Tgl_FPKI_STIP</t>
  </si>
  <si>
    <t>latitude</t>
  </si>
  <si>
    <t>longitude</t>
  </si>
  <si>
    <t>regional_name</t>
  </si>
  <si>
    <t>kabupaten_name</t>
  </si>
  <si>
    <t>province_name</t>
  </si>
  <si>
    <t>Height</t>
  </si>
  <si>
    <t>Tahapan_Project</t>
  </si>
  <si>
    <t>CIP</t>
  </si>
  <si>
    <t>-6.035588</t>
  </si>
  <si>
    <t>106.746780</t>
  </si>
  <si>
    <t>ADMINISTRASI KEPULAUAN SERIBU</t>
  </si>
  <si>
    <t>PRECANCEL</t>
  </si>
  <si>
    <t>106.92812</t>
  </si>
  <si>
    <t>23</t>
  </si>
  <si>
    <t>CILANGKARA</t>
  </si>
  <si>
    <t>-6.540304</t>
  </si>
  <si>
    <t>106.814931</t>
  </si>
  <si>
    <t>Kp Tegalsere RT 26/RW 04, Desa Walikukun, Kecamatan Carenang, Kab. Serang</t>
  </si>
  <si>
    <t>1275731001</t>
  </si>
  <si>
    <t>0010722820011</t>
  </si>
  <si>
    <t>050597/TBG-TB/TSEL/MKT/12/2021</t>
  </si>
  <si>
    <t>-6.24522</t>
  </si>
  <si>
    <t>106.97348</t>
  </si>
  <si>
    <t>Kp. Bojong Indah RT.03/02 Desa kemuning kec. Legok, Kab Tangerang, Banten</t>
  </si>
  <si>
    <t>System Precancel</t>
  </si>
  <si>
    <t>0070723080071</t>
  </si>
  <si>
    <t>1322661007</t>
  </si>
  <si>
    <t>104671</t>
  </si>
  <si>
    <t>PKP TANGERANG 104671</t>
  </si>
  <si>
    <t>050625/TBG-PKP/HCPT/MKT/12/2021</t>
  </si>
  <si>
    <t>-6.226200</t>
  </si>
  <si>
    <t>106.606000</t>
  </si>
  <si>
    <t>0070723110071</t>
  </si>
  <si>
    <t>1135891007</t>
  </si>
  <si>
    <t>91488</t>
  </si>
  <si>
    <t>PKP JAKARTA UTARA 91488</t>
  </si>
  <si>
    <t>050633/TBG-PKP/HCPT/MKT/12/2021</t>
  </si>
  <si>
    <t>-6.134200</t>
  </si>
  <si>
    <t>106.833800</t>
  </si>
  <si>
    <t>0010722750011</t>
  </si>
  <si>
    <t>1135821001</t>
  </si>
  <si>
    <t>JTX643</t>
  </si>
  <si>
    <t>AGUNGSEDAYUJAKUT</t>
  </si>
  <si>
    <t>0040719590041</t>
  </si>
  <si>
    <t>1135421004</t>
  </si>
  <si>
    <t>01JKU809</t>
  </si>
  <si>
    <t>GABUS_TELUKGONG_JKU</t>
  </si>
  <si>
    <t>0010722500011</t>
  </si>
  <si>
    <t>1322641001</t>
  </si>
  <si>
    <t>CPT250</t>
  </si>
  <si>
    <t>PERMANENCOMBATLIVINGWORLD</t>
  </si>
  <si>
    <t>050585/TBG-TB/TSEL/MKT/12/2021</t>
  </si>
  <si>
    <t>-6.16529</t>
  </si>
  <si>
    <t>106.925</t>
  </si>
  <si>
    <t>049327/TBG-PKP/ISAT/MKT/11/2021</t>
  </si>
  <si>
    <t>-6.13295</t>
  </si>
  <si>
    <t>106.78006</t>
  </si>
  <si>
    <t>050560/TBG-TB/TSEL/MKT/12/2021</t>
  </si>
  <si>
    <t>-6.24345</t>
  </si>
  <si>
    <t>106.655</t>
  </si>
  <si>
    <t>0010722490011</t>
  </si>
  <si>
    <t>1135811001</t>
  </si>
  <si>
    <t>JBX310</t>
  </si>
  <si>
    <t>KINTAMANITIMUR</t>
  </si>
  <si>
    <t>050559/TBG-TB/TSEL/MKT/12/2021</t>
  </si>
  <si>
    <t>-6.14877</t>
  </si>
  <si>
    <t>106.71375</t>
  </si>
  <si>
    <t>VILLAGADINGHARAPAN</t>
  </si>
  <si>
    <t>1000000+500000</t>
  </si>
  <si>
    <t>11 Tahun</t>
  </si>
  <si>
    <t>5 KK @ 1.000.000, 23 KK @500.000</t>
  </si>
  <si>
    <t xml:space="preserve">CME Type </t>
  </si>
  <si>
    <t>Tinggal Copy atasnya</t>
  </si>
  <si>
    <t>Abaikan Saja</t>
  </si>
  <si>
    <t>Isi sesuai SPH</t>
  </si>
  <si>
    <t>Input harga Total SPH nya dulu</t>
  </si>
  <si>
    <t>CAPEX PLAN 2022</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</si>
</sst>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23">
    <numFmt numFmtId="41" formatCode="_(* #,##0_);_(* \(#,##0\);_(* &quot;-&quot;_);_(@_)"/>
    <numFmt numFmtId="43" formatCode="_(* #,##0.00_);_(* \(#,##0.00\);_(* &quot;-&quot;??_);_(@_)"/>
    <numFmt numFmtId="164" formatCode="_-&quot;Rp&quot;* #,##0_-;\-&quot;Rp&quot;* #,##0_-;_-&quot;Rp&quot;* &quot;-&quot;_-;_-@_-"/>
    <numFmt numFmtId="165" formatCode="_-&quot;Rp&quot;* #,##0.00_-;\-&quot;Rp&quot;* #,##0.00_-;_-&quot;Rp&quot;* &quot;-&quot;??_-;_-@_-"/>
    <numFmt numFmtId="166" formatCode="_-* #,##0.00_-;\-* #,##0.00_-;_-* &quot;-&quot;??_-;_-@_-"/>
    <numFmt numFmtId="167" formatCode="_-&quot;$&quot;* #,##0_-;\-&quot;$&quot;* #,##0_-;_-&quot;$&quot;* &quot;-&quot;_-;_-@_-"/>
    <numFmt numFmtId="168" formatCode="dd\ mmm\ yyyy"/>
    <numFmt numFmtId="169" formatCode="[$-409]d\-mmm\-yy;@"/>
    <numFmt numFmtId="170" formatCode="mmm\ yy"/>
    <numFmt numFmtId="171" formatCode="yyyy"/>
    <numFmt numFmtId="172" formatCode="0.00000"/>
    <numFmt numFmtId="173" formatCode="#,##0.000000"/>
    <numFmt numFmtId="174" formatCode="#,##0.00000"/>
    <numFmt numFmtId="175" formatCode="#,##0.0000"/>
    <numFmt numFmtId="176" formatCode="0.000000"/>
    <numFmt numFmtId="177" formatCode="_(* #,##0_);_(* \(#,##0\);_(* &quot;-&quot;??_);_(@_)"/>
    <numFmt numFmtId="178" formatCode="_(* #,##0_);_(* \(#,##0\);_(* &quot;-&quot;?_);_(@_)"/>
    <numFmt numFmtId="179" formatCode="_-[$Rp-421]* #,##0.00_-;\-[$Rp-421]* #,##0.00_-;_-[$Rp-421]* &quot;-&quot;??_-;_-@_-"/>
    <numFmt numFmtId="180" formatCode="&quot;Rp&quot;#,##0"/>
    <numFmt numFmtId="181" formatCode="&quot;Rp&quot;#,##0.00"/>
    <numFmt numFmtId="182" formatCode="[$-F800]dddd\,\ mmmm\ dd\,\ yyyy"/>
    <numFmt numFmtId="183" formatCode="0.000000000000000%"/>
    <numFmt numFmtId="184" formatCode="mm/dd/yyyy\ hh:mm:ss"/>
  </numFmts>
  <fonts count="78">
    <font>
      <sz val="11"/>
      <color theme="1"/>
      <name val="Calibri"/>
      <family val="2"/>
      <scheme val="minor"/>
    </font>
    <font>
      <sz val="11"/>
      <color theme="1"/>
      <name val="Calibri"/>
      <family val="2"/>
      <scheme val="minor"/>
    </font>
    <font>
      <b/>
      <sz val="11"/>
      <color theme="1"/>
      <name val="Calibri"/>
      <family val="2"/>
      <scheme val="minor"/>
    </font>
    <font>
      <sz val="9"/>
      <color theme="1"/>
      <name val="Calibri"/>
      <family val="2"/>
      <scheme val="minor"/>
    </font>
    <font>
      <sz val="11"/>
      <color rgb="FFFF0000"/>
      <name val="Calibri"/>
      <family val="2"/>
      <scheme val="minor"/>
    </font>
    <font>
      <sz val="11"/>
      <name val="Calibri"/>
      <family val="2"/>
      <scheme val="minor"/>
    </font>
    <font>
      <sz val="11"/>
      <color rgb="FF000000"/>
      <name val="Calibri"/>
      <family val="2"/>
      <scheme val="minor"/>
    </font>
    <font>
      <b/>
      <sz val="12"/>
      <color theme="1"/>
      <name val="Calibri"/>
      <family val="2"/>
      <scheme val="minor"/>
    </font>
    <font>
      <sz val="12"/>
      <color theme="1"/>
      <name val="Calibri"/>
      <family val="2"/>
      <scheme val="minor"/>
    </font>
    <font>
      <b/>
      <sz val="12"/>
      <color theme="0"/>
      <name val="Calibri"/>
      <family val="2"/>
      <scheme val="minor"/>
    </font>
    <font>
      <b/>
      <sz val="8"/>
      <color rgb="FF000000"/>
      <name val="Calibri"/>
      <family val="2"/>
    </font>
    <font>
      <sz val="11"/>
      <color rgb="FF000000"/>
      <name val="Calibri"/>
      <family val="2"/>
    </font>
    <font>
      <b/>
      <sz val="8"/>
      <name val="Calibri"/>
      <family val="2"/>
      <scheme val="minor"/>
    </font>
    <font>
      <sz val="8"/>
      <name val="Calibri"/>
      <family val="2"/>
      <scheme val="minor"/>
    </font>
    <font>
      <sz val="8"/>
      <color rgb="FF000000"/>
      <name val="Calibri"/>
      <family val="2"/>
    </font>
    <font>
      <sz val="9"/>
      <color rgb="FF000000"/>
      <name val="Calibri"/>
      <family val="2"/>
    </font>
    <font>
      <b/>
      <sz val="9"/>
      <color rgb="FF000000"/>
      <name val="Calibri"/>
      <family val="2"/>
    </font>
    <font>
      <sz val="9"/>
      <color rgb="FF9C5700"/>
      <name val="Calibri"/>
      <family val="2"/>
    </font>
    <font>
      <sz val="9"/>
      <color rgb="FF9C0006"/>
      <name val="Calibri"/>
      <family val="2"/>
    </font>
    <font>
      <sz val="8"/>
      <color theme="1"/>
      <name val="Calibri"/>
      <family val="2"/>
    </font>
    <font>
      <sz val="8"/>
      <color theme="1"/>
      <name val="Calibri"/>
      <family val="2"/>
      <scheme val="minor"/>
    </font>
    <font>
      <sz val="8"/>
      <color rgb="FF9C0006"/>
      <name val="Calibri"/>
      <family val="2"/>
    </font>
    <font>
      <sz val="8"/>
      <color rgb="FF9C5700"/>
      <name val="Calibri"/>
      <family val="2"/>
    </font>
    <font>
      <b/>
      <sz val="8"/>
      <color theme="0"/>
      <name val="Calibri"/>
      <family val="2"/>
      <scheme val="minor"/>
    </font>
    <font>
      <sz val="8"/>
      <color rgb="FFFF0000"/>
      <name val="Calibri"/>
      <family val="2"/>
    </font>
    <font>
      <sz val="8"/>
      <color rgb="FFFF0000"/>
      <name val="Calibri"/>
      <family val="2"/>
      <scheme val="minor"/>
    </font>
    <font>
      <sz val="11"/>
      <color theme="1"/>
      <name val="Calibri"/>
      <family val="2"/>
      <charset val="1"/>
      <scheme val="minor"/>
    </font>
    <font>
      <b/>
      <sz val="12"/>
      <color rgb="FF000000"/>
      <name val="Calibri"/>
      <family val="2"/>
    </font>
    <font>
      <b/>
      <sz val="11"/>
      <color rgb="FF000000"/>
      <name val="Calibri"/>
      <family val="2"/>
    </font>
    <font>
      <sz val="10"/>
      <color rgb="FF000000"/>
      <name val="Calibri"/>
      <family val="2"/>
      <charset val="1"/>
      <scheme val="minor"/>
    </font>
    <font>
      <i/>
      <sz val="11"/>
      <color rgb="FF000000"/>
      <name val="Calibri"/>
      <family val="2"/>
    </font>
    <font>
      <i/>
      <sz val="10"/>
      <color rgb="FF000000"/>
      <name val="Calibri"/>
      <family val="2"/>
    </font>
    <font>
      <i/>
      <sz val="11"/>
      <color theme="1"/>
      <name val="Calibri"/>
      <family val="2"/>
      <scheme val="minor"/>
    </font>
    <font>
      <b/>
      <i/>
      <sz val="11"/>
      <color rgb="FF000000"/>
      <name val="Calibri"/>
      <family val="2"/>
    </font>
    <font>
      <b/>
      <sz val="11"/>
      <color theme="0"/>
      <name val="Calibri"/>
      <family val="2"/>
    </font>
    <font>
      <b/>
      <sz val="11"/>
      <color theme="0"/>
      <name val="Calibri"/>
      <family val="2"/>
      <charset val="1"/>
      <scheme val="minor"/>
    </font>
    <font>
      <sz val="11"/>
      <color theme="1"/>
      <name val="Arial"/>
      <family val="2"/>
    </font>
    <font>
      <b/>
      <sz val="9"/>
      <color indexed="81"/>
      <name val="Tahoma"/>
      <family val="2"/>
    </font>
    <font>
      <sz val="9"/>
      <color indexed="81"/>
      <name val="Tahoma"/>
      <family val="2"/>
    </font>
    <font>
      <b/>
      <sz val="10"/>
      <color theme="1"/>
      <name val="Calibri"/>
      <family val="2"/>
    </font>
    <font>
      <sz val="10"/>
      <color theme="1"/>
      <name val="Calibri"/>
      <family val="2"/>
    </font>
    <font>
      <sz val="11"/>
      <color theme="1"/>
      <name val="Calibri"/>
      <family val="2"/>
    </font>
    <font>
      <sz val="8"/>
      <color theme="1"/>
      <name val="Arial"/>
      <family val="2"/>
    </font>
    <font>
      <sz val="10"/>
      <name val="Trebuchet MS"/>
      <family val="2"/>
    </font>
    <font>
      <b/>
      <sz val="11"/>
      <name val="Calibri"/>
      <family val="2"/>
      <scheme val="minor"/>
    </font>
    <font>
      <b/>
      <sz val="11"/>
      <color rgb="FFFF0000"/>
      <name val="Calibri"/>
      <family val="2"/>
      <scheme val="minor"/>
    </font>
    <font>
      <sz val="12"/>
      <color theme="1"/>
      <name val="Calibri"/>
      <family val="2"/>
      <charset val="1"/>
      <scheme val="minor"/>
    </font>
    <font>
      <b/>
      <sz val="9"/>
      <color theme="0"/>
      <name val="Calibri"/>
      <family val="2"/>
      <charset val="1"/>
      <scheme val="minor"/>
    </font>
    <font>
      <sz val="9"/>
      <color theme="1"/>
      <name val="Calibri"/>
      <family val="2"/>
      <charset val="1"/>
      <scheme val="minor"/>
    </font>
    <font>
      <sz val="9"/>
      <color rgb="FF000000"/>
      <name val="Calibri"/>
      <family val="2"/>
      <scheme val="minor"/>
    </font>
    <font>
      <sz val="9"/>
      <color theme="1"/>
      <name val="Arial"/>
      <family val="2"/>
    </font>
    <font>
      <sz val="9"/>
      <color rgb="FF000000"/>
      <name val="Arial"/>
      <family val="2"/>
    </font>
    <font>
      <sz val="11"/>
      <color theme="0"/>
      <name val="Calibri"/>
      <family val="2"/>
      <scheme val="minor"/>
    </font>
    <font>
      <sz val="11"/>
      <color indexed="8"/>
      <name val="Calibri"/>
      <family val="2"/>
      <scheme val="minor"/>
    </font>
    <font>
      <i/>
      <sz val="11"/>
      <color indexed="8"/>
      <name val="Calibri"/>
      <family val="2"/>
      <scheme val="minor"/>
    </font>
    <font>
      <b/>
      <sz val="11"/>
      <color theme="0"/>
      <name val="Calibri"/>
      <family val="2"/>
      <scheme val="minor"/>
    </font>
    <font>
      <sz val="8"/>
      <color rgb="FF000000"/>
      <name val="Calibri"/>
      <family val="2"/>
      <scheme val="minor"/>
    </font>
    <font>
      <b/>
      <sz val="11"/>
      <color indexed="8"/>
      <name val="Calibri"/>
      <family val="2"/>
      <scheme val="minor"/>
    </font>
    <font>
      <sz val="9"/>
      <color indexed="8"/>
      <name val="Calibri"/>
      <family val="2"/>
      <scheme val="minor"/>
    </font>
    <font>
      <b/>
      <sz val="9"/>
      <color indexed="8"/>
      <name val="Calibri"/>
      <family val="2"/>
      <scheme val="minor"/>
    </font>
    <font>
      <sz val="11"/>
      <name val="Calibri"/>
      <family val="2"/>
    </font>
    <font>
      <sz val="10"/>
      <name val="MS Sans Serif"/>
      <family val="2"/>
    </font>
    <font>
      <sz val="10"/>
      <name val="Arial"/>
      <family val="2"/>
    </font>
    <font>
      <sz val="12"/>
      <name val="宋体"/>
      <charset val="134"/>
    </font>
    <font>
      <sz val="11"/>
      <color indexed="8"/>
      <name val="Calibri"/>
      <family val="2"/>
    </font>
    <font>
      <b/>
      <sz val="8"/>
      <color theme="1"/>
      <name val="Calibri"/>
      <family val="2"/>
      <scheme val="minor"/>
    </font>
    <font>
      <b/>
      <sz val="9"/>
      <color theme="0"/>
      <name val="Calibri"/>
      <family val="2"/>
      <scheme val="minor"/>
    </font>
    <font>
      <sz val="9"/>
      <name val="Calibri"/>
      <family val="2"/>
      <scheme val="minor"/>
    </font>
    <font>
      <b/>
      <sz val="9"/>
      <color theme="1"/>
      <name val="Calibri"/>
      <family val="2"/>
      <scheme val="minor"/>
    </font>
    <font>
      <b/>
      <sz val="9"/>
      <name val="Calibri"/>
      <family val="2"/>
      <scheme val="minor"/>
    </font>
    <font>
      <i/>
      <sz val="9"/>
      <name val="Calibri"/>
      <family val="2"/>
      <scheme val="minor"/>
    </font>
    <font>
      <sz val="9"/>
      <color rgb="FFFF0000"/>
      <name val="Calibri"/>
      <family val="2"/>
      <scheme val="minor"/>
    </font>
    <font>
      <sz val="10"/>
      <color theme="1"/>
      <name val="Calibri"/>
      <family val="2"/>
      <scheme val="minor"/>
    </font>
    <font>
      <b/>
      <sz val="10"/>
      <color theme="1"/>
      <name val="Calibri"/>
      <family val="2"/>
      <scheme val="minor"/>
    </font>
    <font>
      <i/>
      <sz val="9"/>
      <color rgb="FF000000"/>
      <name val="Arial"/>
      <family val="2"/>
    </font>
    <font>
      <b/>
      <sz val="9"/>
      <color theme="1"/>
      <name val="Calibri"/>
      <family val="2"/>
    </font>
    <font>
      <sz val="9"/>
      <name val="Calibri"/>
      <family val="2"/>
    </font>
    <font>
      <sz val="9"/>
      <color theme="0"/>
      <name val="Calibri"/>
      <family val="2"/>
      <scheme val="minor"/>
    </font>
  </fonts>
  <fills count="52">
    <fill>
      <patternFill patternType="none"/>
    </fill>
    <fill>
      <patternFill patternType="gray125"/>
    </fill>
    <fill>
      <patternFill patternType="solid">
        <fgColor rgb="FFFFC000"/>
        <bgColor indexed="64"/>
      </patternFill>
    </fill>
    <fill>
      <patternFill patternType="solid">
        <fgColor rgb="FFF1350F"/>
        <bgColor indexed="64"/>
      </patternFill>
    </fill>
    <fill>
      <patternFill patternType="solid">
        <fgColor rgb="FFFF0000"/>
        <bgColor indexed="64"/>
      </patternFill>
    </fill>
    <fill>
      <patternFill patternType="solid">
        <fgColor theme="5" tint="-0.249977111117893"/>
        <bgColor indexed="64"/>
      </patternFill>
    </fill>
    <fill>
      <patternFill patternType="solid">
        <fgColor theme="4" tint="0.79998168889431442"/>
        <bgColor indexed="64"/>
      </patternFill>
    </fill>
    <fill>
      <patternFill patternType="solid">
        <fgColor rgb="FFF8F9FB"/>
        <bgColor indexed="64"/>
      </patternFill>
    </fill>
    <fill>
      <patternFill patternType="solid">
        <fgColor theme="3" tint="-0.499984740745262"/>
        <bgColor indexed="64"/>
      </patternFill>
    </fill>
    <fill>
      <patternFill patternType="solid">
        <fgColor theme="5" tint="-0.499984740745262"/>
        <bgColor indexed="64"/>
      </patternFill>
    </fill>
    <fill>
      <patternFill patternType="solid">
        <fgColor rgb="FFF4B084"/>
        <bgColor indexed="64"/>
      </patternFill>
    </fill>
    <fill>
      <patternFill patternType="solid">
        <fgColor rgb="FFD99795"/>
        <bgColor indexed="64"/>
      </patternFill>
    </fill>
    <fill>
      <patternFill patternType="solid">
        <fgColor rgb="FF8DB4E3"/>
        <bgColor indexed="64"/>
      </patternFill>
    </fill>
    <fill>
      <patternFill patternType="solid">
        <fgColor rgb="FFC2D69A"/>
        <bgColor indexed="64"/>
      </patternFill>
    </fill>
    <fill>
      <patternFill patternType="solid">
        <fgColor rgb="FFFFFFFF"/>
        <bgColor indexed="64"/>
      </patternFill>
    </fill>
    <fill>
      <patternFill patternType="solid">
        <fgColor rgb="FFFFEB9C"/>
        <bgColor indexed="64"/>
      </patternFill>
    </fill>
    <fill>
      <patternFill patternType="solid">
        <fgColor rgb="FFFFC7CE"/>
        <bgColor indexed="64"/>
      </patternFill>
    </fill>
    <fill>
      <patternFill patternType="solid">
        <fgColor theme="0" tint="-0.14999847407452621"/>
        <bgColor indexed="64"/>
      </patternFill>
    </fill>
    <fill>
      <patternFill patternType="solid">
        <fgColor rgb="FFDCDCDC"/>
        <bgColor indexed="64"/>
      </patternFill>
    </fill>
    <fill>
      <patternFill patternType="solid">
        <fgColor rgb="FFFFFF00"/>
        <bgColor indexed="64"/>
      </patternFill>
    </fill>
    <fill>
      <patternFill patternType="solid">
        <fgColor rgb="FFB6D7A8"/>
        <bgColor indexed="64"/>
      </patternFill>
    </fill>
    <fill>
      <patternFill patternType="solid">
        <fgColor theme="4"/>
        <bgColor theme="4"/>
      </patternFill>
    </fill>
    <fill>
      <patternFill patternType="solid">
        <fgColor theme="5" tint="0.39997558519241921"/>
        <bgColor theme="4"/>
      </patternFill>
    </fill>
    <fill>
      <patternFill patternType="solid">
        <fgColor theme="4" tint="0.59999389629810485"/>
        <bgColor indexed="64"/>
      </patternFill>
    </fill>
    <fill>
      <patternFill patternType="solid">
        <fgColor rgb="FF8DB4E2"/>
        <bgColor indexed="64"/>
      </patternFill>
    </fill>
    <fill>
      <patternFill patternType="solid">
        <fgColor rgb="FFB8CCE4"/>
        <bgColor indexed="64"/>
      </patternFill>
    </fill>
    <fill>
      <patternFill patternType="solid">
        <fgColor theme="8" tint="-0.249977111117893"/>
        <bgColor indexed="64"/>
      </patternFill>
    </fill>
    <fill>
      <patternFill patternType="solid">
        <fgColor theme="6"/>
        <bgColor theme="4"/>
      </patternFill>
    </fill>
    <fill>
      <patternFill patternType="solid">
        <fgColor theme="5" tint="-0.249977111117893"/>
        <bgColor theme="4"/>
      </patternFill>
    </fill>
    <fill>
      <patternFill patternType="solid">
        <fgColor theme="7" tint="-0.249977111117893"/>
        <bgColor theme="4"/>
      </patternFill>
    </fill>
    <fill>
      <patternFill patternType="solid">
        <fgColor theme="4"/>
        <bgColor indexed="64"/>
      </patternFill>
    </fill>
    <fill>
      <patternFill patternType="solid">
        <fgColor theme="9" tint="0.79998168889431442"/>
        <bgColor indexed="64"/>
      </patternFill>
    </fill>
    <fill>
      <patternFill patternType="solid">
        <fgColor theme="9" tint="0.59999389629810485"/>
        <bgColor indexed="64"/>
      </patternFill>
    </fill>
    <fill>
      <patternFill patternType="solid">
        <fgColor theme="6" tint="0.59999389629810485"/>
        <bgColor indexed="64"/>
      </patternFill>
    </fill>
    <fill>
      <patternFill patternType="solid">
        <fgColor rgb="FF00B0F0"/>
        <bgColor indexed="64"/>
      </patternFill>
    </fill>
    <fill>
      <patternFill patternType="solid">
        <fgColor theme="0"/>
        <bgColor indexed="64"/>
      </patternFill>
    </fill>
    <fill>
      <patternFill patternType="solid">
        <fgColor theme="2" tint="-0.249977111117893"/>
        <bgColor indexed="64"/>
      </patternFill>
    </fill>
    <fill>
      <patternFill patternType="solid">
        <fgColor theme="5" tint="0.59999389629810485"/>
        <bgColor indexed="64"/>
      </patternFill>
    </fill>
    <fill>
      <patternFill patternType="solid">
        <fgColor theme="9" tint="0.39997558519241921"/>
        <bgColor indexed="64"/>
      </patternFill>
    </fill>
    <fill>
      <patternFill patternType="solid">
        <fgColor theme="7" tint="0.39997558519241921"/>
        <bgColor indexed="64"/>
      </patternFill>
    </fill>
    <fill>
      <patternFill patternType="solid">
        <fgColor rgb="FF0070C0"/>
        <bgColor indexed="64"/>
      </patternFill>
    </fill>
    <fill>
      <patternFill patternType="solid">
        <fgColor theme="7" tint="0.79998168889431442"/>
        <bgColor indexed="64"/>
      </patternFill>
    </fill>
    <fill>
      <patternFill patternType="solid">
        <fgColor theme="9" tint="0.39997558519241921"/>
        <bgColor theme="4" tint="0.79998168889431442"/>
      </patternFill>
    </fill>
    <fill>
      <patternFill patternType="solid">
        <fgColor theme="2" tint="-9.9978637043366805E-2"/>
        <bgColor indexed="64"/>
      </patternFill>
    </fill>
    <fill>
      <patternFill patternType="solid">
        <fgColor theme="5" tint="0.39997558519241921"/>
        <bgColor indexed="64"/>
      </patternFill>
    </fill>
    <fill>
      <patternFill patternType="solid">
        <fgColor theme="7" tint="0.59999389629810485"/>
        <bgColor indexed="64"/>
      </patternFill>
    </fill>
    <fill>
      <patternFill patternType="solid">
        <fgColor theme="9" tint="-0.249977111117893"/>
        <bgColor indexed="64"/>
      </patternFill>
    </fill>
    <fill>
      <patternFill patternType="solid">
        <fgColor theme="7" tint="-0.249977111117893"/>
        <bgColor indexed="64"/>
      </patternFill>
    </fill>
    <fill>
      <patternFill patternType="solid">
        <fgColor theme="0" tint="-4.9989318521683403E-2"/>
        <bgColor indexed="64"/>
      </patternFill>
    </fill>
    <fill>
      <patternFill patternType="solid">
        <fgColor theme="8" tint="0.39997558519241921"/>
        <bgColor indexed="64"/>
      </patternFill>
    </fill>
    <fill>
      <patternFill patternType="solid">
        <fgColor rgb="FF92D050"/>
        <bgColor indexed="64"/>
      </patternFill>
    </fill>
    <fill>
      <patternFill patternType="solid">
        <fgColor theme="1" tint="0.34998626667073579"/>
        <bgColor indexed="64"/>
      </patternFill>
    </fill>
  </fills>
  <borders count="43">
    <border>
      <left/>
      <right/>
      <top/>
      <bottom/>
      <diagonal/>
    </border>
    <border>
      <left style="thin">
        <color indexed="64"/>
      </left>
      <right style="thin">
        <color indexed="64"/>
      </right>
      <top style="thin">
        <color indexed="64"/>
      </top>
      <bottom style="thin">
        <color indexed="64"/>
      </bottom>
      <diagonal/>
    </border>
    <border>
      <left/>
      <right/>
      <top style="thin">
        <color indexed="64"/>
      </top>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bottom style="thin">
        <color indexed="64"/>
      </bottom>
      <diagonal/>
    </border>
    <border>
      <left style="thin">
        <color indexed="64"/>
      </left>
      <right style="thin">
        <color indexed="64"/>
      </right>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8"/>
      </left>
      <right style="thin">
        <color indexed="8"/>
      </right>
      <top style="thin">
        <color indexed="8"/>
      </top>
      <bottom style="thin">
        <color indexed="8"/>
      </bottom>
      <diagonal/>
    </border>
    <border>
      <left style="medium">
        <color indexed="64"/>
      </left>
      <right style="medium">
        <color indexed="64"/>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right style="medium">
        <color indexed="64"/>
      </right>
      <top/>
      <bottom style="medium">
        <color indexed="64"/>
      </bottom>
      <diagonal/>
    </border>
    <border>
      <left/>
      <right style="medium">
        <color indexed="64"/>
      </right>
      <top style="medium">
        <color indexed="64"/>
      </top>
      <bottom/>
      <diagonal/>
    </border>
    <border>
      <left/>
      <right/>
      <top style="medium">
        <color indexed="64"/>
      </top>
      <bottom style="medium">
        <color indexed="64"/>
      </bottom>
      <diagonal/>
    </border>
    <border>
      <left style="medium">
        <color indexed="64"/>
      </left>
      <right style="medium">
        <color indexed="64"/>
      </right>
      <top style="medium">
        <color indexed="64"/>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style="thin">
        <color indexed="64"/>
      </left>
      <right style="thin">
        <color indexed="64"/>
      </right>
      <top/>
      <bottom/>
      <diagonal/>
    </border>
    <border>
      <left/>
      <right/>
      <top style="thin">
        <color indexed="64"/>
      </top>
      <bottom style="thin">
        <color indexed="64"/>
      </bottom>
      <diagonal/>
    </border>
    <border>
      <left style="thin">
        <color indexed="8"/>
      </left>
      <right style="thin">
        <color indexed="8"/>
      </right>
      <top style="thin">
        <color indexed="8"/>
      </top>
      <bottom/>
      <diagonal/>
    </border>
    <border>
      <left style="thin">
        <color indexed="64"/>
      </left>
      <right/>
      <top/>
      <bottom/>
      <diagonal/>
    </border>
    <border>
      <left/>
      <right/>
      <top style="thin">
        <color theme="4"/>
      </top>
      <bottom style="thin">
        <color theme="4"/>
      </bottom>
      <diagonal/>
    </border>
    <border>
      <left/>
      <right/>
      <top style="thin">
        <color theme="4" tint="0.39997558519241921"/>
      </top>
      <bottom/>
      <diagonal/>
    </border>
    <border>
      <left/>
      <right/>
      <top/>
      <bottom style="thin">
        <color theme="4" tint="0.39997558519241921"/>
      </bottom>
      <diagonal/>
    </border>
    <border>
      <left/>
      <right style="thin">
        <color indexed="64"/>
      </right>
      <top/>
      <bottom/>
      <diagonal/>
    </border>
    <border>
      <left style="thin">
        <color indexed="64"/>
      </left>
      <right/>
      <top style="thin">
        <color indexed="64"/>
      </top>
      <bottom/>
      <diagonal/>
    </border>
    <border>
      <left style="thin">
        <color indexed="8"/>
      </left>
      <right/>
      <top style="thin">
        <color indexed="8"/>
      </top>
      <bottom style="thin">
        <color indexed="8"/>
      </bottom>
      <diagonal/>
    </border>
    <border>
      <left style="thin">
        <color indexed="8"/>
      </left>
      <right style="thin">
        <color indexed="8"/>
      </right>
      <top style="thin">
        <color indexed="8"/>
      </top>
      <bottom/>
      <diagonal/>
    </border>
    <border>
      <left style="thin">
        <color indexed="8"/>
      </left>
      <right/>
      <top style="thin">
        <color indexed="8"/>
      </top>
      <bottom/>
      <diagonal/>
    </border>
    <border>
      <left/>
      <right/>
      <top style="thin">
        <color theme="4"/>
      </top>
      <bottom style="thin">
        <color indexed="64"/>
      </bottom>
      <diagonal/>
    </border>
    <border>
      <left/>
      <right style="thin">
        <color indexed="64"/>
      </right>
      <top style="thin">
        <color indexed="64"/>
      </top>
      <bottom/>
      <diagonal/>
    </border>
    <border>
      <left style="thin">
        <color indexed="64"/>
      </left>
      <right/>
      <top/>
      <bottom style="thin">
        <color indexed="64"/>
      </bottom>
      <diagonal/>
    </border>
    <border>
      <left style="thin">
        <color indexed="8"/>
      </left>
      <right style="thin">
        <color indexed="8"/>
      </right>
      <top/>
      <bottom style="thin">
        <color indexed="8"/>
      </bottom>
      <diagonal/>
    </border>
    <border>
      <left style="thin">
        <color indexed="8"/>
      </left>
      <right/>
      <top/>
      <bottom style="thin">
        <color indexed="8"/>
      </bottom>
      <diagonal/>
    </border>
    <border>
      <left/>
      <right/>
      <top/>
      <bottom style="thin">
        <color indexed="64"/>
      </bottom>
      <diagonal/>
    </border>
    <border>
      <left style="thin">
        <color indexed="64"/>
      </left>
      <right/>
      <top style="medium">
        <color indexed="64"/>
      </top>
      <bottom style="medium">
        <color indexed="64"/>
      </bottom>
      <diagonal/>
    </border>
    <border>
      <left style="medium">
        <color indexed="64"/>
      </left>
      <right style="medium">
        <color indexed="64"/>
      </right>
      <top/>
      <bottom style="medium">
        <color rgb="FF000000"/>
      </bottom>
      <diagonal/>
    </border>
    <border>
      <left style="medium">
        <color indexed="64"/>
      </left>
      <right style="medium">
        <color indexed="64"/>
      </right>
      <top/>
      <bottom/>
      <diagonal/>
    </border>
    <border>
      <left style="medium">
        <color indexed="64"/>
      </left>
      <right style="medium">
        <color indexed="64"/>
      </right>
      <top style="thin">
        <color indexed="64"/>
      </top>
      <bottom/>
      <diagonal/>
    </border>
  </borders>
  <cellStyleXfs count="49">
    <xf numFmtId="0" fontId="0" fillId="0" borderId="0"/>
    <xf numFmtId="166" fontId="1" fillId="0" borderId="0" applyFont="0" applyFill="0" applyBorder="0" applyAlignment="0" applyProtection="0"/>
    <xf numFmtId="167" fontId="1" fillId="0" borderId="0" applyFont="0" applyFill="0" applyBorder="0" applyAlignment="0" applyProtection="0"/>
    <xf numFmtId="0" fontId="26" fillId="0" borderId="0"/>
    <xf numFmtId="41" fontId="26" fillId="0" borderId="0" applyFont="0" applyFill="0" applyBorder="0" applyAlignment="0" applyProtection="0"/>
    <xf numFmtId="0" fontId="26" fillId="0" borderId="0"/>
    <xf numFmtId="41" fontId="26" fillId="0" borderId="0" applyFont="0" applyFill="0" applyBorder="0" applyAlignment="0" applyProtection="0"/>
    <xf numFmtId="43" fontId="26" fillId="0" borderId="0" applyFont="0" applyFill="0" applyBorder="0" applyAlignment="0" applyProtection="0"/>
    <xf numFmtId="43" fontId="1" fillId="0" borderId="0" applyFont="0" applyFill="0" applyBorder="0" applyAlignment="0" applyProtection="0"/>
    <xf numFmtId="0" fontId="1" fillId="0" borderId="0"/>
    <xf numFmtId="0" fontId="1" fillId="0" borderId="0"/>
    <xf numFmtId="0" fontId="43" fillId="0" borderId="0"/>
    <xf numFmtId="0" fontId="53" fillId="0" borderId="0"/>
    <xf numFmtId="0" fontId="61" fillId="0" borderId="0"/>
    <xf numFmtId="0" fontId="1" fillId="0" borderId="0"/>
    <xf numFmtId="0" fontId="62" fillId="0" borderId="0"/>
    <xf numFmtId="0" fontId="62" fillId="0" borderId="0"/>
    <xf numFmtId="0" fontId="26" fillId="0" borderId="0"/>
    <xf numFmtId="0" fontId="36" fillId="0" borderId="0"/>
    <xf numFmtId="0" fontId="36" fillId="0" borderId="0"/>
    <xf numFmtId="0" fontId="36" fillId="0" borderId="0"/>
    <xf numFmtId="0" fontId="26" fillId="0" borderId="0"/>
    <xf numFmtId="0" fontId="36" fillId="0" borderId="0"/>
    <xf numFmtId="0" fontId="62" fillId="0" borderId="0"/>
    <xf numFmtId="0" fontId="62" fillId="0" borderId="0"/>
    <xf numFmtId="0" fontId="63" fillId="0" borderId="0">
      <alignment vertical="center"/>
    </xf>
    <xf numFmtId="0" fontId="36" fillId="0" borderId="0"/>
    <xf numFmtId="0" fontId="62" fillId="0" borderId="0"/>
    <xf numFmtId="0" fontId="62" fillId="0" borderId="0"/>
    <xf numFmtId="0" fontId="63" fillId="0" borderId="0">
      <alignment vertical="center"/>
    </xf>
    <xf numFmtId="0" fontId="36" fillId="0" borderId="0"/>
    <xf numFmtId="0" fontId="36" fillId="0" borderId="0"/>
    <xf numFmtId="0" fontId="36" fillId="0" borderId="0"/>
    <xf numFmtId="0" fontId="36" fillId="0" borderId="0"/>
    <xf numFmtId="0" fontId="26" fillId="0" borderId="0"/>
    <xf numFmtId="0" fontId="1" fillId="0" borderId="0"/>
    <xf numFmtId="0" fontId="26" fillId="0" borderId="0"/>
    <xf numFmtId="0" fontId="36" fillId="0" borderId="0"/>
    <xf numFmtId="0" fontId="1" fillId="0" borderId="0"/>
    <xf numFmtId="0" fontId="1" fillId="0" borderId="0"/>
    <xf numFmtId="0" fontId="1" fillId="0" borderId="0"/>
    <xf numFmtId="0" fontId="1" fillId="0" borderId="0"/>
    <xf numFmtId="0" fontId="1" fillId="0" borderId="0"/>
    <xf numFmtId="0" fontId="64" fillId="0" borderId="0"/>
    <xf numFmtId="0" fontId="64" fillId="0" borderId="0"/>
    <xf numFmtId="0" fontId="36" fillId="0" borderId="0"/>
    <xf numFmtId="0" fontId="61" fillId="0" borderId="0"/>
    <xf numFmtId="0" fontId="1" fillId="0" borderId="0"/>
    <xf numFmtId="9" fontId="1" fillId="0" borderId="0" applyFont="0" applyFill="0" applyBorder="0" applyAlignment="0" applyProtection="0"/>
  </cellStyleXfs>
  <cellXfs count="1039">
    <xf numFmtId="0" fontId="0" fillId="0" borderId="0" xfId="0"/>
    <xf numFmtId="0" fontId="0" fillId="0" borderId="0" xfId="0" applyAlignment="1">
      <alignment wrapText="1"/>
    </xf>
    <xf numFmtId="0" fontId="0" fillId="0" borderId="1" xfId="0" applyBorder="1"/>
    <xf numFmtId="0" fontId="0" fillId="0" borderId="1" xfId="0" applyBorder="1" applyAlignment="1">
      <alignment horizontal="center" vertical="center"/>
    </xf>
    <xf numFmtId="0" fontId="0" fillId="0" borderId="1" xfId="0" applyFont="1" applyFill="1" applyBorder="1"/>
    <xf numFmtId="0" fontId="0" fillId="0" borderId="1" xfId="0" applyFill="1" applyBorder="1"/>
    <xf numFmtId="0" fontId="1" fillId="0" borderId="1" xfId="0" applyFont="1" applyFill="1" applyBorder="1"/>
    <xf numFmtId="168" fontId="0" fillId="0" borderId="1" xfId="0" applyNumberFormat="1" applyFill="1" applyBorder="1"/>
    <xf numFmtId="0" fontId="0" fillId="0" borderId="1" xfId="0" applyNumberFormat="1" applyFill="1" applyBorder="1"/>
    <xf numFmtId="0" fontId="0" fillId="0" borderId="1" xfId="0" quotePrefix="1" applyFont="1" applyFill="1" applyBorder="1"/>
    <xf numFmtId="0" fontId="0" fillId="0" borderId="1" xfId="0" applyFill="1" applyBorder="1" applyAlignment="1"/>
    <xf numFmtId="0" fontId="0" fillId="0" borderId="1" xfId="0" applyFont="1" applyFill="1" applyBorder="1" applyAlignment="1"/>
    <xf numFmtId="0" fontId="0" fillId="0" borderId="1" xfId="0" applyBorder="1" applyAlignment="1">
      <alignment horizontal="left"/>
    </xf>
    <xf numFmtId="0" fontId="1" fillId="0" borderId="1" xfId="0" applyFont="1" applyFill="1" applyBorder="1" applyAlignment="1">
      <alignment horizontal="left"/>
    </xf>
    <xf numFmtId="0" fontId="0" fillId="0" borderId="0" xfId="0" applyAlignment="1">
      <alignment horizontal="left"/>
    </xf>
    <xf numFmtId="0" fontId="4" fillId="0" borderId="1" xfId="0" applyFont="1" applyFill="1" applyBorder="1"/>
    <xf numFmtId="0" fontId="0" fillId="0" borderId="1" xfId="0" applyFont="1" applyFill="1" applyBorder="1" applyAlignment="1">
      <alignment horizontal="left"/>
    </xf>
    <xf numFmtId="0" fontId="5" fillId="0" borderId="1" xfId="0" applyFont="1" applyFill="1" applyBorder="1"/>
    <xf numFmtId="0" fontId="0" fillId="0" borderId="1" xfId="0" applyNumberFormat="1" applyFill="1" applyBorder="1" applyAlignment="1">
      <alignment horizontal="center"/>
    </xf>
    <xf numFmtId="0" fontId="0" fillId="0" borderId="1" xfId="0" applyFill="1" applyBorder="1" applyAlignment="1">
      <alignment horizontal="left"/>
    </xf>
    <xf numFmtId="1" fontId="0" fillId="0" borderId="1" xfId="0" quotePrefix="1" applyNumberFormat="1" applyFill="1" applyBorder="1" applyAlignment="1">
      <alignment horizontal="center"/>
    </xf>
    <xf numFmtId="168" fontId="0" fillId="0" borderId="1" xfId="0" applyNumberFormat="1" applyFill="1" applyBorder="1" applyAlignment="1">
      <alignment horizontal="right"/>
    </xf>
    <xf numFmtId="1" fontId="0" fillId="0" borderId="1" xfId="0" applyNumberFormat="1" applyFill="1" applyBorder="1"/>
    <xf numFmtId="0" fontId="5" fillId="7" borderId="1" xfId="0" applyNumberFormat="1" applyFont="1" applyFill="1" applyBorder="1" applyAlignment="1" applyProtection="1"/>
    <xf numFmtId="0" fontId="5" fillId="0" borderId="1" xfId="0" applyNumberFormat="1" applyFont="1" applyFill="1" applyBorder="1" applyAlignment="1" applyProtection="1"/>
    <xf numFmtId="0" fontId="0" fillId="0" borderId="1" xfId="0" applyFont="1" applyBorder="1"/>
    <xf numFmtId="168" fontId="2" fillId="0" borderId="1" xfId="0" applyNumberFormat="1" applyFont="1" applyBorder="1" applyAlignment="1"/>
    <xf numFmtId="168" fontId="0" fillId="0" borderId="1" xfId="0" applyNumberFormat="1" applyBorder="1" applyAlignment="1">
      <alignment horizontal="right"/>
    </xf>
    <xf numFmtId="168" fontId="0" fillId="0" borderId="1" xfId="0" applyNumberFormat="1" applyBorder="1"/>
    <xf numFmtId="0" fontId="0" fillId="0" borderId="1" xfId="0" applyBorder="1" applyAlignment="1">
      <alignment horizontal="center"/>
    </xf>
    <xf numFmtId="168" fontId="0" fillId="0" borderId="1" xfId="0" applyNumberFormat="1" applyBorder="1" applyAlignment="1">
      <alignment horizontal="center"/>
    </xf>
    <xf numFmtId="168" fontId="0" fillId="0" borderId="1" xfId="0" applyNumberFormat="1" applyFill="1" applyBorder="1" applyAlignment="1">
      <alignment horizontal="center"/>
    </xf>
    <xf numFmtId="0" fontId="0" fillId="0" borderId="0" xfId="0" applyAlignment="1">
      <alignment horizontal="center"/>
    </xf>
    <xf numFmtId="0" fontId="0" fillId="0" borderId="1" xfId="0" applyNumberFormat="1" applyBorder="1" applyAlignment="1">
      <alignment horizontal="center"/>
    </xf>
    <xf numFmtId="170" fontId="0" fillId="0" borderId="1" xfId="0" applyNumberFormat="1" applyBorder="1" applyAlignment="1">
      <alignment horizontal="center"/>
    </xf>
    <xf numFmtId="0" fontId="0" fillId="0" borderId="0" xfId="0" applyNumberFormat="1" applyAlignment="1">
      <alignment horizontal="center"/>
    </xf>
    <xf numFmtId="0" fontId="4" fillId="0" borderId="1" xfId="0" applyFont="1" applyBorder="1"/>
    <xf numFmtId="172" fontId="6" fillId="0" borderId="1" xfId="0" applyNumberFormat="1" applyFont="1" applyBorder="1"/>
    <xf numFmtId="0" fontId="6" fillId="0" borderId="1" xfId="0" applyFont="1" applyBorder="1"/>
    <xf numFmtId="14" fontId="0" fillId="0" borderId="1" xfId="0" applyNumberFormat="1" applyFill="1" applyBorder="1"/>
    <xf numFmtId="0" fontId="0" fillId="0" borderId="1" xfId="0" applyFill="1" applyBorder="1" applyAlignment="1">
      <alignment horizontal="center"/>
    </xf>
    <xf numFmtId="0" fontId="0" fillId="0" borderId="1" xfId="0" applyFill="1" applyBorder="1" applyAlignment="1">
      <alignment horizontal="center" vertical="center"/>
    </xf>
    <xf numFmtId="14" fontId="0" fillId="0" borderId="1" xfId="0" applyNumberFormat="1" applyFont="1" applyFill="1" applyBorder="1"/>
    <xf numFmtId="0" fontId="0" fillId="0" borderId="1" xfId="0" applyFill="1" applyBorder="1" applyAlignment="1">
      <alignment wrapText="1"/>
    </xf>
    <xf numFmtId="0" fontId="0" fillId="0" borderId="1" xfId="0" applyBorder="1" applyAlignment="1">
      <alignment wrapText="1"/>
    </xf>
    <xf numFmtId="0" fontId="0" fillId="0" borderId="2" xfId="0" applyBorder="1"/>
    <xf numFmtId="171" fontId="0" fillId="0" borderId="3" xfId="0" applyNumberFormat="1" applyBorder="1"/>
    <xf numFmtId="0" fontId="0" fillId="0" borderId="3" xfId="0" applyFill="1" applyBorder="1"/>
    <xf numFmtId="0" fontId="0" fillId="0" borderId="7" xfId="0" applyFill="1" applyBorder="1"/>
    <xf numFmtId="0" fontId="0" fillId="0" borderId="8" xfId="0" applyFill="1" applyBorder="1"/>
    <xf numFmtId="168" fontId="0" fillId="0" borderId="8" xfId="0" applyNumberFormat="1" applyFill="1" applyBorder="1"/>
    <xf numFmtId="168" fontId="0" fillId="0" borderId="8" xfId="0" applyNumberFormat="1" applyFill="1" applyBorder="1" applyAlignment="1">
      <alignment horizontal="center"/>
    </xf>
    <xf numFmtId="170" fontId="0" fillId="0" borderId="8" xfId="0" applyNumberFormat="1" applyBorder="1" applyAlignment="1">
      <alignment horizontal="center"/>
    </xf>
    <xf numFmtId="0" fontId="0" fillId="0" borderId="8" xfId="0" applyFill="1" applyBorder="1" applyAlignment="1">
      <alignment wrapText="1"/>
    </xf>
    <xf numFmtId="0" fontId="7" fillId="2" borderId="6" xfId="0" applyFont="1" applyFill="1" applyBorder="1" applyAlignment="1">
      <alignment horizontal="center" vertical="center" wrapText="1"/>
    </xf>
    <xf numFmtId="0" fontId="9" fillId="5" borderId="6" xfId="0" applyFont="1" applyFill="1" applyBorder="1" applyAlignment="1">
      <alignment horizontal="center" vertical="center" wrapText="1"/>
    </xf>
    <xf numFmtId="0" fontId="8" fillId="0" borderId="0" xfId="0" applyFont="1" applyAlignment="1">
      <alignment wrapText="1"/>
    </xf>
    <xf numFmtId="0" fontId="0" fillId="0" borderId="8" xfId="0" quotePrefix="1" applyFill="1" applyBorder="1"/>
    <xf numFmtId="0" fontId="0" fillId="0" borderId="8" xfId="0" applyFill="1" applyBorder="1" applyAlignment="1">
      <alignment horizontal="center"/>
    </xf>
    <xf numFmtId="0" fontId="0" fillId="0" borderId="9" xfId="0" applyBorder="1"/>
    <xf numFmtId="168" fontId="0" fillId="0" borderId="9" xfId="0" applyNumberFormat="1" applyBorder="1" applyAlignment="1">
      <alignment horizontal="right"/>
    </xf>
    <xf numFmtId="1" fontId="0" fillId="0" borderId="1" xfId="0" applyNumberFormat="1" applyBorder="1"/>
    <xf numFmtId="1" fontId="1" fillId="0" borderId="1" xfId="0" applyNumberFormat="1" applyFont="1" applyFill="1" applyBorder="1"/>
    <xf numFmtId="1" fontId="0" fillId="0" borderId="1" xfId="0" applyNumberFormat="1" applyFont="1" applyFill="1" applyBorder="1"/>
    <xf numFmtId="0" fontId="10" fillId="10" borderId="10" xfId="0" applyFont="1" applyFill="1" applyBorder="1" applyAlignment="1">
      <alignment horizontal="center" vertical="center" wrapText="1"/>
    </xf>
    <xf numFmtId="0" fontId="10" fillId="11" borderId="11" xfId="0" applyFont="1" applyFill="1" applyBorder="1" applyAlignment="1">
      <alignment horizontal="center" vertical="center" wrapText="1"/>
    </xf>
    <xf numFmtId="0" fontId="10" fillId="12" borderId="11" xfId="0" applyFont="1" applyFill="1" applyBorder="1" applyAlignment="1">
      <alignment horizontal="center" vertical="center" wrapText="1"/>
    </xf>
    <xf numFmtId="0" fontId="10" fillId="13" borderId="11" xfId="0" applyFont="1" applyFill="1" applyBorder="1" applyAlignment="1">
      <alignment horizontal="center" vertical="center" wrapText="1"/>
    </xf>
    <xf numFmtId="15" fontId="11" fillId="0" borderId="12" xfId="0" applyNumberFormat="1" applyFont="1" applyBorder="1" applyAlignment="1">
      <alignment horizontal="center" vertical="center"/>
    </xf>
    <xf numFmtId="0" fontId="11" fillId="0" borderId="14" xfId="0" applyFont="1" applyBorder="1" applyAlignment="1">
      <alignment horizontal="center" vertical="center"/>
    </xf>
    <xf numFmtId="0" fontId="0" fillId="0" borderId="10" xfId="0" applyBorder="1"/>
    <xf numFmtId="0" fontId="12" fillId="10" borderId="10" xfId="0" applyFont="1" applyFill="1" applyBorder="1" applyAlignment="1">
      <alignment horizontal="center" vertical="center" wrapText="1"/>
    </xf>
    <xf numFmtId="0" fontId="12" fillId="11" borderId="10" xfId="0" applyFont="1" applyFill="1" applyBorder="1" applyAlignment="1">
      <alignment horizontal="center" vertical="center" wrapText="1"/>
    </xf>
    <xf numFmtId="0" fontId="12" fillId="12" borderId="10" xfId="0" applyFont="1" applyFill="1" applyBorder="1" applyAlignment="1">
      <alignment horizontal="center" vertical="center" wrapText="1"/>
    </xf>
    <xf numFmtId="0" fontId="12" fillId="13" borderId="10" xfId="0" applyFont="1" applyFill="1" applyBorder="1" applyAlignment="1">
      <alignment horizontal="center" vertical="center" wrapText="1"/>
    </xf>
    <xf numFmtId="0" fontId="13" fillId="0" borderId="10" xfId="0" applyFont="1" applyBorder="1" applyAlignment="1">
      <alignment horizontal="center" vertical="center"/>
    </xf>
    <xf numFmtId="15" fontId="14" fillId="0" borderId="12" xfId="0" applyNumberFormat="1" applyFont="1" applyBorder="1" applyAlignment="1">
      <alignment horizontal="center" vertical="center"/>
    </xf>
    <xf numFmtId="0" fontId="13" fillId="14" borderId="10" xfId="0" applyFont="1" applyFill="1" applyBorder="1" applyAlignment="1">
      <alignment horizontal="center" vertical="center"/>
    </xf>
    <xf numFmtId="0" fontId="13" fillId="0" borderId="10" xfId="0" applyFont="1" applyBorder="1" applyAlignment="1">
      <alignment horizontal="center"/>
    </xf>
    <xf numFmtId="3" fontId="13" fillId="0" borderId="10" xfId="0" quotePrefix="1" applyNumberFormat="1" applyFont="1" applyBorder="1" applyAlignment="1">
      <alignment horizontal="center"/>
    </xf>
    <xf numFmtId="0" fontId="13" fillId="0" borderId="10" xfId="0" applyFont="1" applyFill="1" applyBorder="1" applyAlignment="1">
      <alignment horizontal="center" vertical="center"/>
    </xf>
    <xf numFmtId="15" fontId="15" fillId="0" borderId="12" xfId="0" applyNumberFormat="1" applyFont="1" applyBorder="1" applyAlignment="1">
      <alignment horizontal="center" vertical="center"/>
    </xf>
    <xf numFmtId="0" fontId="15" fillId="0" borderId="14" xfId="0" applyFont="1" applyBorder="1" applyAlignment="1">
      <alignment horizontal="center" vertical="center"/>
    </xf>
    <xf numFmtId="0" fontId="15" fillId="14" borderId="14" xfId="0" applyFont="1" applyFill="1" applyBorder="1" applyAlignment="1">
      <alignment horizontal="center" vertical="center"/>
    </xf>
    <xf numFmtId="0" fontId="16" fillId="10" borderId="10" xfId="0" applyFont="1" applyFill="1" applyBorder="1" applyAlignment="1">
      <alignment horizontal="center" vertical="center" wrapText="1"/>
    </xf>
    <xf numFmtId="0" fontId="16" fillId="11" borderId="11" xfId="0" applyFont="1" applyFill="1" applyBorder="1" applyAlignment="1">
      <alignment horizontal="center" vertical="center" wrapText="1"/>
    </xf>
    <xf numFmtId="0" fontId="16" fillId="12" borderId="11" xfId="0" applyFont="1" applyFill="1" applyBorder="1" applyAlignment="1">
      <alignment horizontal="center" vertical="center" wrapText="1"/>
    </xf>
    <xf numFmtId="0" fontId="16" fillId="13" borderId="11" xfId="0" applyFont="1" applyFill="1" applyBorder="1" applyAlignment="1">
      <alignment horizontal="center" vertical="center" wrapText="1"/>
    </xf>
    <xf numFmtId="14" fontId="15" fillId="0" borderId="14" xfId="0" applyNumberFormat="1" applyFont="1" applyBorder="1" applyAlignment="1">
      <alignment horizontal="center" vertical="center"/>
    </xf>
    <xf numFmtId="0" fontId="17" fillId="15" borderId="14" xfId="0" applyFont="1" applyFill="1" applyBorder="1" applyAlignment="1">
      <alignment horizontal="center" vertical="center"/>
    </xf>
    <xf numFmtId="0" fontId="18" fillId="16" borderId="14" xfId="0" applyFont="1" applyFill="1" applyBorder="1" applyAlignment="1">
      <alignment horizontal="center" vertical="center"/>
    </xf>
    <xf numFmtId="0" fontId="19" fillId="0" borderId="13" xfId="0" applyFont="1" applyBorder="1" applyAlignment="1">
      <alignment vertical="center"/>
    </xf>
    <xf numFmtId="0" fontId="14" fillId="0" borderId="14" xfId="0" applyFont="1" applyBorder="1" applyAlignment="1">
      <alignment horizontal="center" vertical="center"/>
    </xf>
    <xf numFmtId="0" fontId="14" fillId="0" borderId="13" xfId="0" applyFont="1" applyBorder="1" applyAlignment="1">
      <alignment horizontal="center" vertical="center"/>
    </xf>
    <xf numFmtId="0" fontId="19" fillId="0" borderId="13" xfId="0" applyFont="1" applyBorder="1" applyAlignment="1">
      <alignment horizontal="center" vertical="center"/>
    </xf>
    <xf numFmtId="173" fontId="20" fillId="0" borderId="13" xfId="0" quotePrefix="1" applyNumberFormat="1" applyFont="1" applyBorder="1" applyAlignment="1">
      <alignment horizontal="center" vertical="center"/>
    </xf>
    <xf numFmtId="174" fontId="20" fillId="0" borderId="13" xfId="0" quotePrefix="1" applyNumberFormat="1" applyFont="1" applyBorder="1" applyAlignment="1">
      <alignment horizontal="center" vertical="center"/>
    </xf>
    <xf numFmtId="0" fontId="19" fillId="0" borderId="15" xfId="0" applyFont="1" applyBorder="1" applyAlignment="1">
      <alignment horizontal="center" vertical="center"/>
    </xf>
    <xf numFmtId="0" fontId="14" fillId="0" borderId="12" xfId="0" applyFont="1" applyBorder="1" applyAlignment="1">
      <alignment horizontal="center" vertical="center"/>
    </xf>
    <xf numFmtId="0" fontId="19" fillId="0" borderId="12" xfId="0" applyFont="1" applyBorder="1" applyAlignment="1">
      <alignment horizontal="center" vertical="center"/>
    </xf>
    <xf numFmtId="173" fontId="20" fillId="0" borderId="12" xfId="0" quotePrefix="1" applyNumberFormat="1" applyFont="1" applyBorder="1" applyAlignment="1">
      <alignment horizontal="center" vertical="center"/>
    </xf>
    <xf numFmtId="174" fontId="20" fillId="0" borderId="12" xfId="0" quotePrefix="1" applyNumberFormat="1" applyFont="1" applyBorder="1" applyAlignment="1">
      <alignment horizontal="center" vertical="center"/>
    </xf>
    <xf numFmtId="0" fontId="19" fillId="0" borderId="14" xfId="0" applyFont="1" applyBorder="1" applyAlignment="1">
      <alignment horizontal="center" vertical="center"/>
    </xf>
    <xf numFmtId="175" fontId="20" fillId="0" borderId="13" xfId="0" quotePrefix="1" applyNumberFormat="1" applyFont="1" applyBorder="1" applyAlignment="1">
      <alignment horizontal="center" vertical="center"/>
    </xf>
    <xf numFmtId="175" fontId="20" fillId="0" borderId="12" xfId="0" quotePrefix="1" applyNumberFormat="1" applyFont="1" applyBorder="1" applyAlignment="1">
      <alignment horizontal="center" vertical="center"/>
    </xf>
    <xf numFmtId="176" fontId="14" fillId="0" borderId="14" xfId="0" applyNumberFormat="1" applyFont="1" applyBorder="1" applyAlignment="1">
      <alignment horizontal="center" vertical="center"/>
    </xf>
    <xf numFmtId="0" fontId="20" fillId="0" borderId="10" xfId="0" applyFont="1" applyBorder="1" applyAlignment="1">
      <alignment horizontal="center" vertical="center"/>
    </xf>
    <xf numFmtId="0" fontId="20" fillId="0" borderId="16" xfId="0" applyFont="1" applyBorder="1" applyAlignment="1">
      <alignment horizontal="center" vertical="center"/>
    </xf>
    <xf numFmtId="0" fontId="14" fillId="0" borderId="10" xfId="0" applyFont="1" applyFill="1" applyBorder="1" applyAlignment="1">
      <alignment horizontal="center" vertical="center"/>
    </xf>
    <xf numFmtId="0" fontId="14" fillId="0" borderId="11" xfId="0" applyFont="1" applyFill="1" applyBorder="1" applyAlignment="1">
      <alignment horizontal="center" vertical="center"/>
    </xf>
    <xf numFmtId="172" fontId="14" fillId="0" borderId="14" xfId="0" applyNumberFormat="1" applyFont="1" applyBorder="1" applyAlignment="1">
      <alignment horizontal="center" vertical="center"/>
    </xf>
    <xf numFmtId="0" fontId="19" fillId="0" borderId="13" xfId="0" applyFont="1" applyBorder="1" applyAlignment="1">
      <alignment horizontal="center" vertical="center" wrapText="1"/>
    </xf>
    <xf numFmtId="0" fontId="19" fillId="0" borderId="17" xfId="0" applyFont="1" applyBorder="1" applyAlignment="1">
      <alignment vertical="center"/>
    </xf>
    <xf numFmtId="0" fontId="19" fillId="0" borderId="12" xfId="0" applyFont="1" applyBorder="1" applyAlignment="1">
      <alignment horizontal="center" vertical="center" wrapText="1"/>
    </xf>
    <xf numFmtId="0" fontId="10" fillId="10" borderId="13" xfId="0" applyFont="1" applyFill="1" applyBorder="1" applyAlignment="1">
      <alignment horizontal="center" vertical="center"/>
    </xf>
    <xf numFmtId="0" fontId="10" fillId="11" borderId="15" xfId="0" applyFont="1" applyFill="1" applyBorder="1" applyAlignment="1">
      <alignment horizontal="center" vertical="center"/>
    </xf>
    <xf numFmtId="0" fontId="10" fillId="12" borderId="15" xfId="0" applyFont="1" applyFill="1" applyBorder="1" applyAlignment="1">
      <alignment horizontal="center" vertical="center"/>
    </xf>
    <xf numFmtId="0" fontId="10" fillId="13" borderId="15" xfId="0" applyFont="1" applyFill="1" applyBorder="1" applyAlignment="1">
      <alignment horizontal="center" vertical="center"/>
    </xf>
    <xf numFmtId="0" fontId="10" fillId="13" borderId="15" xfId="0" applyFont="1" applyFill="1" applyBorder="1" applyAlignment="1">
      <alignment horizontal="center" vertical="center" wrapText="1"/>
    </xf>
    <xf numFmtId="15" fontId="14" fillId="0" borderId="10" xfId="0" applyNumberFormat="1" applyFont="1" applyBorder="1" applyAlignment="1">
      <alignment horizontal="center" vertical="center"/>
    </xf>
    <xf numFmtId="0" fontId="14" fillId="19" borderId="11" xfId="0" applyFont="1" applyFill="1" applyBorder="1" applyAlignment="1">
      <alignment horizontal="center" vertical="center"/>
    </xf>
    <xf numFmtId="0" fontId="14" fillId="14" borderId="11" xfId="0" applyFont="1" applyFill="1" applyBorder="1" applyAlignment="1">
      <alignment horizontal="center" vertical="center"/>
    </xf>
    <xf numFmtId="0" fontId="11" fillId="0" borderId="11" xfId="0" applyFont="1" applyBorder="1" applyAlignment="1">
      <alignment vertical="center"/>
    </xf>
    <xf numFmtId="0" fontId="14" fillId="0" borderId="11" xfId="0" applyFont="1" applyBorder="1" applyAlignment="1">
      <alignment horizontal="center" vertical="center"/>
    </xf>
    <xf numFmtId="0" fontId="21" fillId="16" borderId="11" xfId="0" applyFont="1" applyFill="1" applyBorder="1" applyAlignment="1">
      <alignment horizontal="center" vertical="center"/>
    </xf>
    <xf numFmtId="15" fontId="14" fillId="19" borderId="11" xfId="0" applyNumberFormat="1" applyFont="1" applyFill="1" applyBorder="1" applyAlignment="1">
      <alignment horizontal="center" vertical="center"/>
    </xf>
    <xf numFmtId="0" fontId="14" fillId="19" borderId="11" xfId="0" applyFont="1" applyFill="1" applyBorder="1" applyAlignment="1">
      <alignment horizontal="center" vertical="center" wrapText="1"/>
    </xf>
    <xf numFmtId="0" fontId="14" fillId="19" borderId="14" xfId="0" applyFont="1" applyFill="1" applyBorder="1" applyAlignment="1">
      <alignment horizontal="center" vertical="center"/>
    </xf>
    <xf numFmtId="0" fontId="14" fillId="14" borderId="14" xfId="0" applyFont="1" applyFill="1" applyBorder="1" applyAlignment="1">
      <alignment horizontal="center" vertical="center"/>
    </xf>
    <xf numFmtId="0" fontId="11" fillId="0" borderId="14" xfId="0" applyFont="1" applyBorder="1" applyAlignment="1">
      <alignment vertical="center"/>
    </xf>
    <xf numFmtId="0" fontId="21" fillId="16" borderId="14" xfId="0" applyFont="1" applyFill="1" applyBorder="1" applyAlignment="1">
      <alignment horizontal="center" vertical="center"/>
    </xf>
    <xf numFmtId="15" fontId="14" fillId="19" borderId="14" xfId="0" applyNumberFormat="1" applyFont="1" applyFill="1" applyBorder="1" applyAlignment="1">
      <alignment horizontal="center" vertical="center"/>
    </xf>
    <xf numFmtId="0" fontId="14" fillId="19" borderId="14" xfId="0" applyFont="1" applyFill="1" applyBorder="1" applyAlignment="1">
      <alignment horizontal="center" vertical="center" wrapText="1"/>
    </xf>
    <xf numFmtId="0" fontId="14" fillId="12" borderId="14" xfId="0" applyFont="1" applyFill="1" applyBorder="1" applyAlignment="1">
      <alignment horizontal="center" vertical="center"/>
    </xf>
    <xf numFmtId="0" fontId="14" fillId="20" borderId="14" xfId="0" applyFont="1" applyFill="1" applyBorder="1" applyAlignment="1">
      <alignment horizontal="center" vertical="center"/>
    </xf>
    <xf numFmtId="15" fontId="14" fillId="0" borderId="14" xfId="0" applyNumberFormat="1" applyFont="1" applyBorder="1" applyAlignment="1">
      <alignment horizontal="center" vertical="center"/>
    </xf>
    <xf numFmtId="0" fontId="14" fillId="0" borderId="14" xfId="0" applyFont="1" applyBorder="1" applyAlignment="1">
      <alignment horizontal="center" vertical="center" wrapText="1"/>
    </xf>
    <xf numFmtId="0" fontId="14" fillId="13" borderId="14" xfId="0" applyFont="1" applyFill="1" applyBorder="1" applyAlignment="1">
      <alignment horizontal="center" vertical="center"/>
    </xf>
    <xf numFmtId="0" fontId="22" fillId="15" borderId="14" xfId="0" applyFont="1" applyFill="1" applyBorder="1" applyAlignment="1">
      <alignment horizontal="center" vertical="center"/>
    </xf>
    <xf numFmtId="0" fontId="0" fillId="0" borderId="1" xfId="0" quotePrefix="1" applyNumberFormat="1" applyFill="1" applyBorder="1" applyAlignment="1">
      <alignment horizontal="center"/>
    </xf>
    <xf numFmtId="0" fontId="0" fillId="0" borderId="6" xfId="0" applyFont="1" applyBorder="1"/>
    <xf numFmtId="0" fontId="0" fillId="0" borderId="6" xfId="0" applyBorder="1"/>
    <xf numFmtId="0" fontId="0" fillId="0" borderId="6" xfId="0" applyFont="1" applyFill="1" applyBorder="1" applyAlignment="1">
      <alignment horizontal="center" vertical="center"/>
    </xf>
    <xf numFmtId="0" fontId="0" fillId="0" borderId="0" xfId="0" applyAlignment="1">
      <alignment horizontal="center" vertical="center"/>
    </xf>
    <xf numFmtId="14" fontId="20" fillId="0" borderId="1" xfId="0" applyNumberFormat="1" applyFont="1" applyBorder="1" applyAlignment="1">
      <alignment horizontal="center" vertical="center"/>
    </xf>
    <xf numFmtId="0" fontId="0" fillId="0" borderId="0" xfId="0" applyBorder="1" applyAlignment="1">
      <alignment horizontal="center" vertical="center"/>
    </xf>
    <xf numFmtId="0" fontId="14" fillId="14" borderId="1" xfId="0" applyFont="1" applyFill="1" applyBorder="1" applyAlignment="1">
      <alignment horizontal="center" vertical="center"/>
    </xf>
    <xf numFmtId="0" fontId="11" fillId="0" borderId="1" xfId="0" applyFont="1" applyBorder="1" applyAlignment="1">
      <alignment vertical="center"/>
    </xf>
    <xf numFmtId="0" fontId="26" fillId="0" borderId="0" xfId="3"/>
    <xf numFmtId="0" fontId="26" fillId="0" borderId="0" xfId="3" applyAlignment="1">
      <alignment wrapText="1"/>
    </xf>
    <xf numFmtId="0" fontId="27" fillId="24" borderId="1" xfId="3" applyFont="1" applyFill="1" applyBorder="1" applyAlignment="1">
      <alignment vertical="center"/>
    </xf>
    <xf numFmtId="0" fontId="27" fillId="24" borderId="1" xfId="3" applyFont="1" applyFill="1" applyBorder="1" applyAlignment="1">
      <alignment horizontal="center" vertical="center"/>
    </xf>
    <xf numFmtId="41" fontId="27" fillId="24" borderId="1" xfId="4" applyFont="1" applyFill="1" applyBorder="1" applyAlignment="1">
      <alignment horizontal="center" vertical="center"/>
    </xf>
    <xf numFmtId="41" fontId="27" fillId="24" borderId="1" xfId="4" applyFont="1" applyFill="1" applyBorder="1" applyAlignment="1">
      <alignment horizontal="center" vertical="center" wrapText="1"/>
    </xf>
    <xf numFmtId="0" fontId="27" fillId="24" borderId="1" xfId="3" applyFont="1" applyFill="1" applyBorder="1" applyAlignment="1">
      <alignment vertical="center" wrapText="1"/>
    </xf>
    <xf numFmtId="0" fontId="28" fillId="0" borderId="1" xfId="3" applyFont="1" applyBorder="1" applyAlignment="1">
      <alignment horizontal="center" vertical="center"/>
    </xf>
    <xf numFmtId="0" fontId="26" fillId="0" borderId="1" xfId="5" applyBorder="1" applyAlignment="1">
      <alignment vertical="center"/>
    </xf>
    <xf numFmtId="0" fontId="26" fillId="0" borderId="1" xfId="5" applyBorder="1" applyAlignment="1">
      <alignment horizontal="center" vertical="center"/>
    </xf>
    <xf numFmtId="41" fontId="26" fillId="0" borderId="1" xfId="6" applyFont="1" applyBorder="1" applyAlignment="1">
      <alignment vertical="center"/>
    </xf>
    <xf numFmtId="0" fontId="29" fillId="0" borderId="0" xfId="3" applyFont="1" applyAlignment="1">
      <alignment wrapText="1"/>
    </xf>
    <xf numFmtId="41" fontId="26" fillId="0" borderId="1" xfId="6" applyFont="1" applyBorder="1" applyAlignment="1">
      <alignment horizontal="center" vertical="center"/>
    </xf>
    <xf numFmtId="0" fontId="26" fillId="0" borderId="1" xfId="5" applyBorder="1" applyAlignment="1">
      <alignment vertical="center" wrapText="1"/>
    </xf>
    <xf numFmtId="41" fontId="28" fillId="0" borderId="1" xfId="4" applyFont="1" applyBorder="1" applyAlignment="1">
      <alignment horizontal="center" vertical="center" wrapText="1"/>
    </xf>
    <xf numFmtId="0" fontId="11" fillId="0" borderId="1" xfId="3" applyFont="1" applyBorder="1" applyAlignment="1">
      <alignment horizontal="center" vertical="center"/>
    </xf>
    <xf numFmtId="0" fontId="11" fillId="0" borderId="1" xfId="3" applyFont="1" applyBorder="1" applyAlignment="1">
      <alignment vertical="center"/>
    </xf>
    <xf numFmtId="0" fontId="11" fillId="0" borderId="1" xfId="3" applyFont="1" applyBorder="1" applyAlignment="1">
      <alignment vertical="center" wrapText="1"/>
    </xf>
    <xf numFmtId="41" fontId="11" fillId="0" borderId="1" xfId="4" applyFont="1" applyBorder="1" applyAlignment="1">
      <alignment horizontal="center" vertical="center" wrapText="1"/>
    </xf>
    <xf numFmtId="0" fontId="11" fillId="25" borderId="1" xfId="3" applyFont="1" applyFill="1" applyBorder="1" applyAlignment="1">
      <alignment horizontal="center" vertical="center"/>
    </xf>
    <xf numFmtId="0" fontId="30" fillId="25" borderId="1" xfId="3" applyFont="1" applyFill="1" applyBorder="1" applyAlignment="1">
      <alignment vertical="center"/>
    </xf>
    <xf numFmtId="0" fontId="0" fillId="23" borderId="1" xfId="5" applyFont="1" applyFill="1" applyBorder="1" applyAlignment="1">
      <alignment vertical="center" wrapText="1"/>
    </xf>
    <xf numFmtId="41" fontId="11" fillId="25" borderId="1" xfId="4" applyFont="1" applyFill="1" applyBorder="1" applyAlignment="1">
      <alignment horizontal="center" vertical="center" wrapText="1"/>
    </xf>
    <xf numFmtId="0" fontId="31" fillId="0" borderId="1" xfId="3" applyFont="1" applyBorder="1" applyAlignment="1">
      <alignment vertical="center"/>
    </xf>
    <xf numFmtId="0" fontId="6" fillId="0" borderId="1" xfId="3" applyFont="1" applyBorder="1" applyAlignment="1">
      <alignment wrapText="1"/>
    </xf>
    <xf numFmtId="0" fontId="32" fillId="0" borderId="1" xfId="5" applyFont="1" applyFill="1" applyBorder="1" applyAlignment="1">
      <alignment vertical="center"/>
    </xf>
    <xf numFmtId="0" fontId="26" fillId="0" borderId="1" xfId="5" applyFill="1" applyBorder="1" applyAlignment="1">
      <alignment horizontal="center" vertical="center"/>
    </xf>
    <xf numFmtId="0" fontId="33" fillId="0" borderId="1" xfId="3" applyFont="1" applyBorder="1" applyAlignment="1">
      <alignment vertical="center"/>
    </xf>
    <xf numFmtId="0" fontId="0" fillId="0" borderId="1" xfId="5" applyFont="1" applyBorder="1" applyAlignment="1">
      <alignment vertical="center" wrapText="1"/>
    </xf>
    <xf numFmtId="0" fontId="26" fillId="0" borderId="1" xfId="3" applyBorder="1"/>
    <xf numFmtId="41" fontId="0" fillId="0" borderId="1" xfId="6" applyFont="1" applyBorder="1" applyAlignment="1">
      <alignment horizontal="center" vertical="center"/>
    </xf>
    <xf numFmtId="41" fontId="11" fillId="0" borderId="1" xfId="4" applyFont="1" applyBorder="1" applyAlignment="1">
      <alignment horizontal="center" vertical="center"/>
    </xf>
    <xf numFmtId="0" fontId="28" fillId="26" borderId="1" xfId="3" applyFont="1" applyFill="1" applyBorder="1" applyAlignment="1">
      <alignment horizontal="center" vertical="center"/>
    </xf>
    <xf numFmtId="0" fontId="28" fillId="26" borderId="1" xfId="3" applyFont="1" applyFill="1" applyBorder="1" applyAlignment="1">
      <alignment vertical="center"/>
    </xf>
    <xf numFmtId="41" fontId="28" fillId="26" borderId="1" xfId="4" applyFont="1" applyFill="1" applyBorder="1" applyAlignment="1">
      <alignment horizontal="center" vertical="center"/>
    </xf>
    <xf numFmtId="41" fontId="28" fillId="26" borderId="1" xfId="4" applyFont="1" applyFill="1" applyBorder="1" applyAlignment="1">
      <alignment horizontal="center" vertical="center" wrapText="1"/>
    </xf>
    <xf numFmtId="0" fontId="28" fillId="26" borderId="1" xfId="3" applyFont="1" applyFill="1" applyBorder="1" applyAlignment="1">
      <alignment vertical="center" wrapText="1"/>
    </xf>
    <xf numFmtId="41" fontId="26" fillId="0" borderId="0" xfId="3" applyNumberFormat="1" applyAlignment="1">
      <alignment wrapText="1"/>
    </xf>
    <xf numFmtId="0" fontId="26" fillId="0" borderId="1" xfId="5" applyBorder="1" applyAlignment="1">
      <alignment horizontal="center" vertical="center" wrapText="1"/>
    </xf>
    <xf numFmtId="164" fontId="26" fillId="0" borderId="1" xfId="7" applyNumberFormat="1" applyFont="1" applyBorder="1" applyAlignment="1">
      <alignment vertical="center"/>
    </xf>
    <xf numFmtId="177" fontId="26" fillId="0" borderId="1" xfId="7" applyNumberFormat="1" applyFont="1" applyBorder="1" applyAlignment="1">
      <alignment vertical="center"/>
    </xf>
    <xf numFmtId="177" fontId="28" fillId="0" borderId="1" xfId="7" applyNumberFormat="1" applyFont="1" applyBorder="1" applyAlignment="1">
      <alignment horizontal="center" vertical="center" wrapText="1"/>
    </xf>
    <xf numFmtId="0" fontId="28" fillId="0" borderId="1" xfId="3" applyFont="1" applyBorder="1" applyAlignment="1">
      <alignment horizontal="center" vertical="center" wrapText="1"/>
    </xf>
    <xf numFmtId="177" fontId="11" fillId="0" borderId="1" xfId="7" applyNumberFormat="1" applyFont="1" applyFill="1" applyBorder="1" applyAlignment="1">
      <alignment horizontal="center" vertical="center" wrapText="1"/>
    </xf>
    <xf numFmtId="0" fontId="11" fillId="0" borderId="1" xfId="3" applyFont="1" applyFill="1" applyBorder="1" applyAlignment="1">
      <alignment horizontal="center" vertical="center"/>
    </xf>
    <xf numFmtId="0" fontId="11" fillId="0" borderId="1" xfId="3" applyFont="1" applyFill="1" applyBorder="1" applyAlignment="1">
      <alignment vertical="center"/>
    </xf>
    <xf numFmtId="177" fontId="26" fillId="0" borderId="1" xfId="7" applyNumberFormat="1" applyFont="1" applyBorder="1" applyAlignment="1">
      <alignment horizontal="center" vertical="center"/>
    </xf>
    <xf numFmtId="0" fontId="1" fillId="0" borderId="1" xfId="5" applyFont="1" applyFill="1" applyBorder="1" applyAlignment="1">
      <alignment vertical="center"/>
    </xf>
    <xf numFmtId="0" fontId="0" fillId="0" borderId="1" xfId="5" applyFont="1" applyFill="1" applyBorder="1" applyAlignment="1">
      <alignment vertical="center"/>
    </xf>
    <xf numFmtId="0" fontId="0" fillId="0" borderId="1" xfId="5" applyFont="1" applyFill="1" applyBorder="1" applyAlignment="1">
      <alignment horizontal="center" vertical="center"/>
    </xf>
    <xf numFmtId="0" fontId="28" fillId="0" borderId="1" xfId="3" applyFont="1" applyBorder="1" applyAlignment="1">
      <alignment vertical="center"/>
    </xf>
    <xf numFmtId="164" fontId="2" fillId="0" borderId="1" xfId="7" applyNumberFormat="1" applyFont="1" applyBorder="1" applyAlignment="1">
      <alignment horizontal="center" vertical="center"/>
    </xf>
    <xf numFmtId="164" fontId="2" fillId="0" borderId="1" xfId="7" applyNumberFormat="1" applyFont="1" applyFill="1" applyBorder="1" applyAlignment="1">
      <alignment vertical="center"/>
    </xf>
    <xf numFmtId="177" fontId="11" fillId="0" borderId="1" xfId="7" applyNumberFormat="1" applyFont="1" applyBorder="1" applyAlignment="1">
      <alignment horizontal="center" vertical="center" wrapText="1"/>
    </xf>
    <xf numFmtId="0" fontId="0" fillId="0" borderId="1" xfId="5" applyFont="1" applyBorder="1" applyAlignment="1">
      <alignment vertical="center"/>
    </xf>
    <xf numFmtId="177" fontId="11" fillId="0" borderId="1" xfId="7" applyNumberFormat="1" applyFont="1" applyBorder="1" applyAlignment="1">
      <alignment horizontal="center" vertical="center"/>
    </xf>
    <xf numFmtId="177" fontId="28" fillId="26" borderId="1" xfId="7" applyNumberFormat="1" applyFont="1" applyFill="1" applyBorder="1" applyAlignment="1">
      <alignment horizontal="center" vertical="center"/>
    </xf>
    <xf numFmtId="177" fontId="28" fillId="26" borderId="1" xfId="7" applyNumberFormat="1" applyFont="1" applyFill="1" applyBorder="1" applyAlignment="1">
      <alignment horizontal="center" vertical="center" wrapText="1"/>
    </xf>
    <xf numFmtId="0" fontId="34" fillId="26" borderId="1" xfId="3" applyFont="1" applyFill="1" applyBorder="1" applyAlignment="1">
      <alignment horizontal="center" vertical="center"/>
    </xf>
    <xf numFmtId="0" fontId="34" fillId="26" borderId="1" xfId="3" applyFont="1" applyFill="1" applyBorder="1" applyAlignment="1">
      <alignment vertical="center"/>
    </xf>
    <xf numFmtId="177" fontId="34" fillId="26" borderId="1" xfId="7" applyNumberFormat="1" applyFont="1" applyFill="1" applyBorder="1" applyAlignment="1">
      <alignment horizontal="center" vertical="center"/>
    </xf>
    <xf numFmtId="177" fontId="34" fillId="26" borderId="1" xfId="7" applyNumberFormat="1" applyFont="1" applyFill="1" applyBorder="1" applyAlignment="1">
      <alignment horizontal="center" vertical="center" wrapText="1"/>
    </xf>
    <xf numFmtId="178" fontId="26" fillId="0" borderId="0" xfId="3" applyNumberFormat="1" applyAlignment="1">
      <alignment wrapText="1"/>
    </xf>
    <xf numFmtId="0" fontId="26" fillId="0" borderId="1" xfId="3" applyBorder="1" applyAlignment="1">
      <alignment horizontal="center" vertical="center"/>
    </xf>
    <xf numFmtId="0" fontId="26" fillId="0" borderId="1" xfId="3" applyBorder="1" applyAlignment="1">
      <alignment horizontal="center" vertical="center" wrapText="1"/>
    </xf>
    <xf numFmtId="0" fontId="26" fillId="0" borderId="1" xfId="3" applyFont="1" applyFill="1" applyBorder="1" applyAlignment="1">
      <alignment horizontal="center"/>
    </xf>
    <xf numFmtId="0" fontId="26" fillId="0" borderId="1" xfId="3" applyFill="1" applyBorder="1" applyAlignment="1">
      <alignment horizontal="center"/>
    </xf>
    <xf numFmtId="0" fontId="0" fillId="0" borderId="1" xfId="0" applyFill="1" applyBorder="1" applyAlignment="1">
      <alignment vertical="top"/>
    </xf>
    <xf numFmtId="0" fontId="26" fillId="33" borderId="1" xfId="3" applyFill="1" applyBorder="1" applyAlignment="1">
      <alignment horizontal="center"/>
    </xf>
    <xf numFmtId="0" fontId="26" fillId="0" borderId="1" xfId="3" applyBorder="1" applyAlignment="1">
      <alignment horizontal="center"/>
    </xf>
    <xf numFmtId="0" fontId="39" fillId="34" borderId="1" xfId="0" applyFont="1" applyFill="1" applyBorder="1" applyAlignment="1">
      <alignment horizontal="center" vertical="center" wrapText="1"/>
    </xf>
    <xf numFmtId="0" fontId="40" fillId="0" borderId="1" xfId="0" applyFont="1" applyBorder="1" applyAlignment="1">
      <alignment horizontal="center" vertical="center"/>
    </xf>
    <xf numFmtId="0" fontId="19" fillId="0" borderId="1" xfId="0" applyFont="1" applyBorder="1" applyAlignment="1">
      <alignment horizontal="center"/>
    </xf>
    <xf numFmtId="0" fontId="19" fillId="0" borderId="1" xfId="0" quotePrefix="1" applyFont="1" applyBorder="1" applyAlignment="1">
      <alignment horizontal="left" vertical="top"/>
    </xf>
    <xf numFmtId="0" fontId="0" fillId="0" borderId="1" xfId="0" applyBorder="1" applyAlignment="1">
      <alignment vertical="center"/>
    </xf>
    <xf numFmtId="0" fontId="0" fillId="0" borderId="1" xfId="0" applyBorder="1" applyAlignment="1">
      <alignment vertical="top"/>
    </xf>
    <xf numFmtId="3" fontId="14" fillId="14" borderId="1" xfId="0" quotePrefix="1" applyNumberFormat="1" applyFont="1" applyFill="1" applyBorder="1" applyAlignment="1">
      <alignment horizontal="left" vertical="top"/>
    </xf>
    <xf numFmtId="3" fontId="14" fillId="14" borderId="1" xfId="0" quotePrefix="1" applyNumberFormat="1" applyFont="1" applyFill="1" applyBorder="1" applyAlignment="1">
      <alignment horizontal="left" vertical="top" wrapText="1"/>
    </xf>
    <xf numFmtId="3" fontId="19" fillId="0" borderId="1" xfId="0" quotePrefix="1" applyNumberFormat="1" applyFont="1" applyFill="1" applyBorder="1" applyAlignment="1">
      <alignment horizontal="left" vertical="top"/>
    </xf>
    <xf numFmtId="0" fontId="0" fillId="0" borderId="1" xfId="0" quotePrefix="1" applyBorder="1" applyAlignment="1">
      <alignment horizontal="left" vertical="top"/>
    </xf>
    <xf numFmtId="0" fontId="40" fillId="0" borderId="1" xfId="0" applyFont="1" applyFill="1" applyBorder="1" applyAlignment="1">
      <alignment horizontal="center" vertical="center"/>
    </xf>
    <xf numFmtId="0" fontId="0" fillId="35" borderId="1" xfId="0" applyFill="1" applyBorder="1" applyAlignment="1">
      <alignment horizontal="center" vertical="center"/>
    </xf>
    <xf numFmtId="0" fontId="42" fillId="0" borderId="1" xfId="0" applyFont="1" applyBorder="1" applyAlignment="1">
      <alignment horizontal="left" vertical="center"/>
    </xf>
    <xf numFmtId="0" fontId="42" fillId="0" borderId="1" xfId="0" quotePrefix="1" applyFont="1" applyFill="1" applyBorder="1" applyAlignment="1">
      <alignment horizontal="left" vertical="top"/>
    </xf>
    <xf numFmtId="0" fontId="41" fillId="0" borderId="1" xfId="0" applyFont="1" applyBorder="1" applyAlignment="1">
      <alignment horizontal="center" vertical="center"/>
    </xf>
    <xf numFmtId="0" fontId="36" fillId="0" borderId="1" xfId="0" applyFont="1" applyBorder="1" applyAlignment="1">
      <alignment horizontal="center" vertical="center"/>
    </xf>
    <xf numFmtId="0" fontId="0" fillId="0" borderId="1" xfId="0" quotePrefix="1" applyFont="1" applyBorder="1" applyAlignment="1">
      <alignment horizontal="left" vertical="top" wrapText="1"/>
    </xf>
    <xf numFmtId="0" fontId="0" fillId="0" borderId="1" xfId="0" quotePrefix="1" applyFont="1" applyBorder="1" applyAlignment="1">
      <alignment horizontal="center" vertical="center"/>
    </xf>
    <xf numFmtId="0" fontId="41" fillId="0" borderId="1" xfId="0" applyFont="1" applyBorder="1" applyAlignment="1">
      <alignment horizontal="center"/>
    </xf>
    <xf numFmtId="0" fontId="41" fillId="0" borderId="1" xfId="0" applyFont="1" applyFill="1" applyBorder="1" applyAlignment="1">
      <alignment horizontal="center"/>
    </xf>
    <xf numFmtId="0" fontId="0" fillId="0" borderId="1" xfId="0" applyFont="1" applyFill="1" applyBorder="1" applyAlignment="1">
      <alignment horizontal="center" vertical="center"/>
    </xf>
    <xf numFmtId="0" fontId="0" fillId="0" borderId="1" xfId="0" quotePrefix="1" applyBorder="1"/>
    <xf numFmtId="0" fontId="0" fillId="0" borderId="1" xfId="0" applyBorder="1" applyAlignment="1">
      <alignment horizontal="left" vertical="top"/>
    </xf>
    <xf numFmtId="0" fontId="0" fillId="0" borderId="1" xfId="0" applyFill="1" applyBorder="1" applyAlignment="1">
      <alignment horizontal="left" vertical="top"/>
    </xf>
    <xf numFmtId="0" fontId="2" fillId="0" borderId="1" xfId="0" applyFont="1" applyBorder="1"/>
    <xf numFmtId="1" fontId="0" fillId="0" borderId="1" xfId="0" applyNumberFormat="1" applyFill="1" applyBorder="1" applyAlignment="1">
      <alignment horizontal="center" vertical="center" wrapText="1"/>
    </xf>
    <xf numFmtId="0" fontId="0" fillId="0" borderId="1" xfId="0" applyFill="1" applyBorder="1" applyAlignment="1">
      <alignment horizontal="center" vertical="center" wrapText="1"/>
    </xf>
    <xf numFmtId="0" fontId="0" fillId="0" borderId="1" xfId="0" applyBorder="1" applyAlignment="1">
      <alignment horizontal="center" vertical="center" wrapText="1"/>
    </xf>
    <xf numFmtId="0" fontId="0" fillId="0" borderId="0" xfId="0" applyFill="1" applyBorder="1"/>
    <xf numFmtId="0" fontId="0" fillId="0" borderId="1" xfId="0" applyFill="1" applyBorder="1" applyAlignment="1">
      <alignment vertical="center"/>
    </xf>
    <xf numFmtId="0" fontId="11" fillId="0" borderId="1" xfId="0" applyFont="1" applyBorder="1" applyAlignment="1">
      <alignment horizontal="center" vertical="center" wrapText="1"/>
    </xf>
    <xf numFmtId="0" fontId="11" fillId="0" borderId="1" xfId="0" applyFont="1" applyFill="1" applyBorder="1" applyAlignment="1">
      <alignment horizontal="center" vertical="center" wrapText="1"/>
    </xf>
    <xf numFmtId="0" fontId="26" fillId="0" borderId="0" xfId="3" applyAlignment="1">
      <alignment horizontal="center" vertical="center"/>
    </xf>
    <xf numFmtId="0" fontId="26" fillId="0" borderId="0" xfId="3" applyAlignment="1">
      <alignment vertical="center"/>
    </xf>
    <xf numFmtId="177" fontId="26" fillId="0" borderId="0" xfId="8" applyNumberFormat="1" applyFont="1" applyAlignment="1">
      <alignment horizontal="center" vertical="center"/>
    </xf>
    <xf numFmtId="177" fontId="26" fillId="0" borderId="0" xfId="8" applyNumberFormat="1" applyFont="1"/>
    <xf numFmtId="0" fontId="26" fillId="0" borderId="0" xfId="3" applyAlignment="1">
      <alignment vertical="top"/>
    </xf>
    <xf numFmtId="0" fontId="26" fillId="0" borderId="0" xfId="3" applyFill="1" applyAlignment="1">
      <alignment horizontal="center" vertical="center"/>
    </xf>
    <xf numFmtId="0" fontId="1" fillId="4" borderId="1" xfId="9" applyFont="1" applyFill="1" applyBorder="1" applyAlignment="1">
      <alignment horizontal="center" vertical="center" wrapText="1"/>
    </xf>
    <xf numFmtId="0" fontId="1" fillId="4" borderId="3" xfId="10" applyFont="1" applyFill="1" applyBorder="1" applyAlignment="1">
      <alignment horizontal="center" vertical="center" wrapText="1"/>
    </xf>
    <xf numFmtId="0" fontId="26" fillId="4" borderId="4" xfId="3" applyFill="1" applyBorder="1" applyAlignment="1">
      <alignment horizontal="center" vertical="center" wrapText="1"/>
    </xf>
    <xf numFmtId="177" fontId="0" fillId="4" borderId="22" xfId="8" applyNumberFormat="1" applyFont="1" applyFill="1" applyBorder="1" applyAlignment="1">
      <alignment horizontal="center" vertical="center" wrapText="1"/>
    </xf>
    <xf numFmtId="0" fontId="26" fillId="0" borderId="0" xfId="3" applyFill="1" applyAlignment="1">
      <alignment horizontal="center" vertical="center" wrapText="1"/>
    </xf>
    <xf numFmtId="0" fontId="5" fillId="0" borderId="6" xfId="11" applyFont="1" applyFill="1" applyBorder="1" applyAlignment="1">
      <alignment horizontal="center" vertical="center" wrapText="1"/>
    </xf>
    <xf numFmtId="0" fontId="1" fillId="0" borderId="1" xfId="10" applyFill="1" applyBorder="1" applyAlignment="1">
      <alignment horizontal="center" vertical="center" wrapText="1"/>
    </xf>
    <xf numFmtId="0" fontId="26" fillId="0" borderId="1" xfId="3" applyFill="1" applyBorder="1" applyAlignment="1">
      <alignment horizontal="center" vertical="center" wrapText="1"/>
    </xf>
    <xf numFmtId="0" fontId="26" fillId="0" borderId="6" xfId="3" applyFill="1" applyBorder="1" applyAlignment="1">
      <alignment horizontal="center" vertical="center" wrapText="1"/>
    </xf>
    <xf numFmtId="177" fontId="26" fillId="0" borderId="6" xfId="8" applyNumberFormat="1" applyFont="1" applyFill="1" applyBorder="1" applyAlignment="1">
      <alignment horizontal="center" vertical="center" wrapText="1"/>
    </xf>
    <xf numFmtId="0" fontId="1" fillId="0" borderId="6" xfId="3" applyFont="1" applyFill="1" applyBorder="1" applyAlignment="1">
      <alignment horizontal="center" vertical="center" wrapText="1"/>
    </xf>
    <xf numFmtId="0" fontId="26" fillId="0" borderId="0" xfId="3" applyFill="1"/>
    <xf numFmtId="0" fontId="5" fillId="0" borderId="1" xfId="11" applyFont="1" applyFill="1" applyBorder="1" applyAlignment="1">
      <alignment horizontal="center" vertical="center" wrapText="1"/>
    </xf>
    <xf numFmtId="0" fontId="1" fillId="0" borderId="1" xfId="10" applyFont="1" applyFill="1" applyBorder="1" applyAlignment="1">
      <alignment horizontal="center" vertical="center" wrapText="1"/>
    </xf>
    <xf numFmtId="177" fontId="26" fillId="0" borderId="1" xfId="8" applyNumberFormat="1" applyFont="1" applyFill="1" applyBorder="1" applyAlignment="1">
      <alignment horizontal="center" vertical="center" wrapText="1"/>
    </xf>
    <xf numFmtId="0" fontId="1" fillId="0" borderId="1" xfId="3" applyFont="1" applyFill="1" applyBorder="1" applyAlignment="1">
      <alignment horizontal="center" vertical="center" wrapText="1"/>
    </xf>
    <xf numFmtId="177" fontId="26" fillId="0" borderId="1" xfId="8" applyNumberFormat="1" applyFont="1" applyBorder="1" applyAlignment="1">
      <alignment horizontal="center" vertical="center" wrapText="1"/>
    </xf>
    <xf numFmtId="0" fontId="1" fillId="0" borderId="1" xfId="3" applyFont="1" applyBorder="1" applyAlignment="1">
      <alignment horizontal="center" vertical="center" wrapText="1"/>
    </xf>
    <xf numFmtId="0" fontId="2" fillId="0" borderId="1" xfId="3" applyFont="1" applyFill="1" applyBorder="1" applyAlignment="1">
      <alignment horizontal="center" vertical="center" wrapText="1"/>
    </xf>
    <xf numFmtId="0" fontId="44" fillId="0" borderId="1" xfId="3" applyFont="1" applyFill="1" applyBorder="1" applyAlignment="1">
      <alignment horizontal="center" vertical="center" wrapText="1"/>
    </xf>
    <xf numFmtId="177" fontId="26" fillId="0" borderId="1" xfId="8" applyNumberFormat="1" applyFont="1" applyBorder="1" applyAlignment="1">
      <alignment horizontal="center" vertical="center"/>
    </xf>
    <xf numFmtId="0" fontId="45" fillId="0" borderId="1" xfId="3" applyFont="1" applyBorder="1" applyAlignment="1">
      <alignment horizontal="center" vertical="center" wrapText="1"/>
    </xf>
    <xf numFmtId="177" fontId="0" fillId="0" borderId="1" xfId="8" applyNumberFormat="1" applyFont="1" applyBorder="1" applyAlignment="1">
      <alignment horizontal="center" vertical="center" wrapText="1"/>
    </xf>
    <xf numFmtId="41" fontId="26" fillId="0" borderId="1" xfId="8" applyNumberFormat="1" applyFont="1" applyFill="1" applyBorder="1" applyAlignment="1">
      <alignment horizontal="center" vertical="center" wrapText="1"/>
    </xf>
    <xf numFmtId="0" fontId="0" fillId="0" borderId="1" xfId="3" applyFont="1" applyBorder="1" applyAlignment="1">
      <alignment horizontal="center" vertical="center" wrapText="1"/>
    </xf>
    <xf numFmtId="0" fontId="4" fillId="0" borderId="1" xfId="3" applyFont="1" applyBorder="1" applyAlignment="1">
      <alignment horizontal="center" vertical="center" wrapText="1"/>
    </xf>
    <xf numFmtId="0" fontId="5" fillId="0" borderId="0" xfId="3" applyFont="1" applyFill="1" applyAlignment="1">
      <alignment horizontal="center" vertical="center" wrapText="1"/>
    </xf>
    <xf numFmtId="0" fontId="44" fillId="0" borderId="1" xfId="3" applyFont="1" applyBorder="1" applyAlignment="1">
      <alignment horizontal="center" vertical="center" wrapText="1"/>
    </xf>
    <xf numFmtId="0" fontId="26" fillId="0" borderId="3" xfId="3" applyBorder="1" applyAlignment="1">
      <alignment horizontal="center" vertical="center"/>
    </xf>
    <xf numFmtId="0" fontId="26" fillId="0" borderId="4" xfId="3" applyBorder="1" applyAlignment="1">
      <alignment horizontal="center" vertical="center"/>
    </xf>
    <xf numFmtId="0" fontId="45" fillId="0" borderId="1" xfId="3" applyFont="1" applyFill="1" applyBorder="1" applyAlignment="1">
      <alignment horizontal="center" vertical="center" wrapText="1"/>
    </xf>
    <xf numFmtId="177" fontId="26" fillId="0" borderId="1" xfId="8" quotePrefix="1" applyNumberFormat="1" applyFont="1" applyBorder="1" applyAlignment="1">
      <alignment horizontal="center" vertical="center" wrapText="1"/>
    </xf>
    <xf numFmtId="177" fontId="26" fillId="0" borderId="22" xfId="8" applyNumberFormat="1" applyFont="1" applyBorder="1" applyAlignment="1">
      <alignment horizontal="center" vertical="center"/>
    </xf>
    <xf numFmtId="0" fontId="4" fillId="0" borderId="6" xfId="3" applyFont="1" applyFill="1" applyBorder="1" applyAlignment="1">
      <alignment horizontal="center" vertical="center" wrapText="1"/>
    </xf>
    <xf numFmtId="14" fontId="26" fillId="0" borderId="0" xfId="3" applyNumberFormat="1" applyFill="1" applyAlignment="1">
      <alignment horizontal="center" vertical="center" wrapText="1"/>
    </xf>
    <xf numFmtId="0" fontId="4" fillId="0" borderId="1" xfId="3" applyFont="1" applyFill="1" applyBorder="1" applyAlignment="1">
      <alignment horizontal="center" vertical="center" wrapText="1"/>
    </xf>
    <xf numFmtId="0" fontId="11" fillId="0" borderId="1" xfId="3" applyFont="1" applyFill="1" applyBorder="1" applyAlignment="1">
      <alignment horizontal="center" vertical="center" wrapText="1"/>
    </xf>
    <xf numFmtId="0" fontId="5" fillId="0" borderId="1" xfId="3" applyFont="1" applyBorder="1" applyAlignment="1">
      <alignment horizontal="center" vertical="center" wrapText="1"/>
    </xf>
    <xf numFmtId="0" fontId="26" fillId="0" borderId="1" xfId="3" quotePrefix="1" applyFill="1" applyBorder="1" applyAlignment="1">
      <alignment horizontal="center" vertical="center" wrapText="1"/>
    </xf>
    <xf numFmtId="0" fontId="2" fillId="0" borderId="6" xfId="3" applyFont="1" applyFill="1" applyBorder="1" applyAlignment="1">
      <alignment horizontal="center" vertical="center" wrapText="1"/>
    </xf>
    <xf numFmtId="0" fontId="0" fillId="0" borderId="6" xfId="3" applyFont="1" applyFill="1" applyBorder="1" applyAlignment="1">
      <alignment horizontal="center" vertical="center" wrapText="1"/>
    </xf>
    <xf numFmtId="0" fontId="26" fillId="0" borderId="6" xfId="3" applyBorder="1" applyAlignment="1">
      <alignment horizontal="center" vertical="center"/>
    </xf>
    <xf numFmtId="177" fontId="26" fillId="0" borderId="6" xfId="8" applyNumberFormat="1" applyFont="1" applyBorder="1" applyAlignment="1">
      <alignment horizontal="center" vertical="center" wrapText="1"/>
    </xf>
    <xf numFmtId="177" fontId="26" fillId="0" borderId="6" xfId="8" applyNumberFormat="1" applyFont="1" applyBorder="1" applyAlignment="1">
      <alignment horizontal="center" vertical="center"/>
    </xf>
    <xf numFmtId="0" fontId="26" fillId="0" borderId="6" xfId="3" applyBorder="1" applyAlignment="1">
      <alignment horizontal="center" vertical="center" wrapText="1"/>
    </xf>
    <xf numFmtId="0" fontId="26" fillId="0" borderId="1" xfId="3" applyFill="1" applyBorder="1" applyAlignment="1">
      <alignment horizontal="center" vertical="center"/>
    </xf>
    <xf numFmtId="177" fontId="26" fillId="0" borderId="1" xfId="8" quotePrefix="1" applyNumberFormat="1" applyFont="1" applyBorder="1" applyAlignment="1">
      <alignment horizontal="center" vertical="center"/>
    </xf>
    <xf numFmtId="0" fontId="1" fillId="0" borderId="1" xfId="10" applyBorder="1" applyAlignment="1">
      <alignment horizontal="center" vertical="center" wrapText="1"/>
    </xf>
    <xf numFmtId="0" fontId="26" fillId="0" borderId="8" xfId="3" applyBorder="1" applyAlignment="1">
      <alignment horizontal="center" vertical="center" wrapText="1"/>
    </xf>
    <xf numFmtId="0" fontId="2" fillId="0" borderId="8" xfId="3" applyFont="1" applyFill="1" applyBorder="1" applyAlignment="1">
      <alignment horizontal="center" vertical="center" wrapText="1"/>
    </xf>
    <xf numFmtId="0" fontId="26" fillId="0" borderId="8" xfId="3" applyFill="1" applyBorder="1" applyAlignment="1">
      <alignment horizontal="center" vertical="center" wrapText="1"/>
    </xf>
    <xf numFmtId="177" fontId="26" fillId="0" borderId="8" xfId="8" applyNumberFormat="1" applyFont="1" applyBorder="1" applyAlignment="1">
      <alignment horizontal="center" vertical="center" wrapText="1"/>
    </xf>
    <xf numFmtId="0" fontId="26" fillId="19" borderId="1" xfId="3" applyFill="1" applyBorder="1" applyAlignment="1">
      <alignment horizontal="center" vertical="center"/>
    </xf>
    <xf numFmtId="177" fontId="0" fillId="0" borderId="1" xfId="8" applyNumberFormat="1" applyFont="1" applyBorder="1" applyAlignment="1">
      <alignment horizontal="center" vertical="center"/>
    </xf>
    <xf numFmtId="0" fontId="26" fillId="19" borderId="8" xfId="3" applyFill="1" applyBorder="1" applyAlignment="1">
      <alignment horizontal="center" vertical="center"/>
    </xf>
    <xf numFmtId="0" fontId="26" fillId="0" borderId="8" xfId="3" applyBorder="1" applyAlignment="1">
      <alignment horizontal="center" vertical="center"/>
    </xf>
    <xf numFmtId="177" fontId="26" fillId="0" borderId="8" xfId="8" applyNumberFormat="1" applyFont="1" applyBorder="1" applyAlignment="1">
      <alignment horizontal="center" vertical="center"/>
    </xf>
    <xf numFmtId="177" fontId="2" fillId="0" borderId="8" xfId="8" quotePrefix="1" applyNumberFormat="1" applyFont="1" applyBorder="1" applyAlignment="1">
      <alignment horizontal="center" vertical="center"/>
    </xf>
    <xf numFmtId="177" fontId="2" fillId="0" borderId="1" xfId="8" quotePrefix="1" applyNumberFormat="1" applyFont="1" applyBorder="1" applyAlignment="1">
      <alignment horizontal="center" vertical="center"/>
    </xf>
    <xf numFmtId="0" fontId="2" fillId="0" borderId="1" xfId="3" applyFont="1" applyBorder="1" applyAlignment="1">
      <alignment horizontal="center" vertical="center" wrapText="1"/>
    </xf>
    <xf numFmtId="177" fontId="2" fillId="0" borderId="1" xfId="8" quotePrefix="1" applyNumberFormat="1" applyFont="1" applyBorder="1" applyAlignment="1">
      <alignment horizontal="center" vertical="center" wrapText="1"/>
    </xf>
    <xf numFmtId="177" fontId="26" fillId="0" borderId="3" xfId="8" applyNumberFormat="1" applyFont="1" applyBorder="1" applyAlignment="1">
      <alignment horizontal="center" vertical="center"/>
    </xf>
    <xf numFmtId="14" fontId="26" fillId="0" borderId="0" xfId="3" applyNumberFormat="1" applyFill="1" applyAlignment="1">
      <alignment horizontal="center" vertical="center"/>
    </xf>
    <xf numFmtId="0" fontId="26" fillId="36" borderId="1" xfId="3" applyFill="1" applyBorder="1" applyAlignment="1">
      <alignment horizontal="center" vertical="center" wrapText="1"/>
    </xf>
    <xf numFmtId="0" fontId="26" fillId="0" borderId="0" xfId="3" applyFill="1" applyAlignment="1">
      <alignment horizontal="left" vertical="center"/>
    </xf>
    <xf numFmtId="0" fontId="2" fillId="0" borderId="8" xfId="3" applyFont="1" applyBorder="1" applyAlignment="1">
      <alignment horizontal="center" vertical="center" wrapText="1"/>
    </xf>
    <xf numFmtId="0" fontId="26" fillId="0" borderId="3" xfId="3" applyBorder="1" applyAlignment="1">
      <alignment horizontal="center" vertical="center" wrapText="1"/>
    </xf>
    <xf numFmtId="177" fontId="26" fillId="0" borderId="3" xfId="8" applyNumberFormat="1" applyFont="1" applyBorder="1" applyAlignment="1">
      <alignment horizontal="center" vertical="center" wrapText="1"/>
    </xf>
    <xf numFmtId="0" fontId="26" fillId="36" borderId="8" xfId="3" applyFill="1" applyBorder="1" applyAlignment="1">
      <alignment horizontal="center" vertical="center" wrapText="1"/>
    </xf>
    <xf numFmtId="0" fontId="26" fillId="0" borderId="4" xfId="3" applyBorder="1" applyAlignment="1">
      <alignment horizontal="center" vertical="center" wrapText="1"/>
    </xf>
    <xf numFmtId="177" fontId="26" fillId="0" borderId="22" xfId="8" applyNumberFormat="1" applyFont="1" applyBorder="1" applyAlignment="1">
      <alignment horizontal="center" vertical="center" wrapText="1"/>
    </xf>
    <xf numFmtId="0" fontId="26" fillId="0" borderId="3" xfId="3" applyBorder="1"/>
    <xf numFmtId="177" fontId="26" fillId="0" borderId="3" xfId="8" applyNumberFormat="1" applyFont="1" applyBorder="1"/>
    <xf numFmtId="0" fontId="46" fillId="0" borderId="1" xfId="3" applyFont="1" applyBorder="1" applyAlignment="1">
      <alignment horizontal="center" vertical="center"/>
    </xf>
    <xf numFmtId="177" fontId="26" fillId="0" borderId="1" xfId="8" applyNumberFormat="1" applyFont="1" applyBorder="1"/>
    <xf numFmtId="0" fontId="26" fillId="0" borderId="1" xfId="3" applyBorder="1" applyAlignment="1">
      <alignment vertical="top"/>
    </xf>
    <xf numFmtId="0" fontId="26" fillId="36" borderId="21" xfId="3" applyFill="1" applyBorder="1" applyAlignment="1">
      <alignment horizontal="center" vertical="center" wrapText="1"/>
    </xf>
    <xf numFmtId="0" fontId="26" fillId="0" borderId="7" xfId="3" applyBorder="1" applyAlignment="1">
      <alignment horizontal="center" vertical="center"/>
    </xf>
    <xf numFmtId="0" fontId="48" fillId="0" borderId="1" xfId="3" applyFont="1" applyBorder="1" applyAlignment="1">
      <alignment horizontal="center" vertical="center"/>
    </xf>
    <xf numFmtId="0" fontId="3" fillId="0" borderId="1" xfId="0" applyFont="1" applyFill="1" applyBorder="1"/>
    <xf numFmtId="0" fontId="48" fillId="0" borderId="1" xfId="3" applyFont="1" applyFill="1" applyBorder="1" applyAlignment="1">
      <alignment horizontal="center"/>
    </xf>
    <xf numFmtId="0" fontId="48" fillId="0" borderId="1" xfId="3" applyFont="1" applyFill="1" applyBorder="1" applyAlignment="1"/>
    <xf numFmtId="0" fontId="48" fillId="0" borderId="1" xfId="3" applyFont="1" applyFill="1" applyBorder="1" applyAlignment="1">
      <alignment horizontal="center" vertical="center"/>
    </xf>
    <xf numFmtId="0" fontId="48" fillId="0" borderId="1" xfId="3" applyFont="1" applyFill="1" applyBorder="1" applyAlignment="1">
      <alignment horizontal="left"/>
    </xf>
    <xf numFmtId="177" fontId="3" fillId="19" borderId="1" xfId="7" applyNumberFormat="1" applyFont="1" applyFill="1" applyBorder="1" applyAlignment="1">
      <alignment horizontal="center"/>
    </xf>
    <xf numFmtId="177" fontId="3" fillId="0" borderId="1" xfId="7" applyNumberFormat="1" applyFont="1" applyFill="1" applyBorder="1" applyAlignment="1">
      <alignment horizontal="center"/>
    </xf>
    <xf numFmtId="177" fontId="3" fillId="4" borderId="1" xfId="7" applyNumberFormat="1" applyFont="1" applyFill="1" applyBorder="1" applyAlignment="1">
      <alignment horizontal="center"/>
    </xf>
    <xf numFmtId="177" fontId="48" fillId="0" borderId="1" xfId="3" applyNumberFormat="1" applyFont="1" applyFill="1" applyBorder="1"/>
    <xf numFmtId="177" fontId="48" fillId="0" borderId="1" xfId="3" applyNumberFormat="1" applyFont="1" applyFill="1" applyBorder="1" applyAlignment="1">
      <alignment horizontal="center"/>
    </xf>
    <xf numFmtId="177" fontId="3" fillId="0" borderId="1" xfId="7" quotePrefix="1" applyNumberFormat="1" applyFont="1" applyFill="1" applyBorder="1" applyAlignment="1">
      <alignment horizontal="center"/>
    </xf>
    <xf numFmtId="0" fontId="3" fillId="0" borderId="1" xfId="0" applyFont="1" applyFill="1" applyBorder="1" applyAlignment="1">
      <alignment horizontal="center" vertical="center"/>
    </xf>
    <xf numFmtId="0" fontId="3" fillId="0" borderId="1" xfId="0" applyFont="1" applyFill="1" applyBorder="1" applyAlignment="1">
      <alignment horizontal="left" vertical="center"/>
    </xf>
    <xf numFmtId="0" fontId="3" fillId="0" borderId="1" xfId="0" applyFont="1" applyFill="1" applyBorder="1" applyAlignment="1">
      <alignment vertical="top"/>
    </xf>
    <xf numFmtId="177" fontId="3" fillId="19" borderId="1" xfId="7" quotePrefix="1" applyNumberFormat="1" applyFont="1" applyFill="1" applyBorder="1" applyAlignment="1">
      <alignment horizontal="center"/>
    </xf>
    <xf numFmtId="1" fontId="49" fillId="0" borderId="0" xfId="0" applyNumberFormat="1" applyFont="1" applyAlignment="1">
      <alignment horizontal="right"/>
    </xf>
    <xf numFmtId="177" fontId="3" fillId="19" borderId="1" xfId="7" applyNumberFormat="1" applyFont="1" applyFill="1" applyBorder="1" applyAlignment="1">
      <alignment horizontal="left"/>
    </xf>
    <xf numFmtId="0" fontId="3" fillId="0" borderId="1" xfId="0" applyFont="1" applyFill="1" applyBorder="1" applyAlignment="1">
      <alignment wrapText="1"/>
    </xf>
    <xf numFmtId="0" fontId="48" fillId="0" borderId="1" xfId="3" applyNumberFormat="1" applyFont="1" applyFill="1" applyBorder="1" applyAlignment="1">
      <alignment horizontal="center"/>
    </xf>
    <xf numFmtId="177" fontId="49" fillId="0" borderId="1" xfId="7" applyNumberFormat="1" applyFont="1" applyFill="1" applyBorder="1"/>
    <xf numFmtId="0" fontId="48" fillId="19" borderId="1" xfId="3" applyFont="1" applyFill="1" applyBorder="1" applyAlignment="1">
      <alignment horizontal="center"/>
    </xf>
    <xf numFmtId="177" fontId="48" fillId="4" borderId="1" xfId="3" applyNumberFormat="1" applyFont="1" applyFill="1" applyBorder="1"/>
    <xf numFmtId="0" fontId="50" fillId="0" borderId="1" xfId="0" applyFont="1" applyFill="1" applyBorder="1" applyAlignment="1">
      <alignment horizontal="left" vertical="top" wrapText="1"/>
    </xf>
    <xf numFmtId="43" fontId="3" fillId="0" borderId="1" xfId="7" applyNumberFormat="1" applyFont="1" applyFill="1" applyBorder="1" applyAlignment="1">
      <alignment horizontal="center"/>
    </xf>
    <xf numFmtId="0" fontId="48" fillId="0" borderId="1" xfId="3" applyFont="1" applyFill="1" applyBorder="1" applyAlignment="1">
      <alignment horizontal="left" vertical="top"/>
    </xf>
    <xf numFmtId="0" fontId="48" fillId="33" borderId="1" xfId="3" applyFont="1" applyFill="1" applyBorder="1" applyAlignment="1">
      <alignment horizontal="left"/>
    </xf>
    <xf numFmtId="0" fontId="48" fillId="33" borderId="1" xfId="3" applyFont="1" applyFill="1" applyBorder="1" applyAlignment="1"/>
    <xf numFmtId="0" fontId="48" fillId="33" borderId="1" xfId="3" applyFont="1" applyFill="1" applyBorder="1" applyAlignment="1">
      <alignment horizontal="center"/>
    </xf>
    <xf numFmtId="0" fontId="48" fillId="33" borderId="1" xfId="3" applyNumberFormat="1" applyFont="1" applyFill="1" applyBorder="1" applyAlignment="1">
      <alignment horizontal="center"/>
    </xf>
    <xf numFmtId="177" fontId="3" fillId="33" borderId="1" xfId="7" applyNumberFormat="1" applyFont="1" applyFill="1" applyBorder="1" applyAlignment="1">
      <alignment horizontal="center"/>
    </xf>
    <xf numFmtId="177" fontId="48" fillId="33" borderId="1" xfId="3" applyNumberFormat="1" applyFont="1" applyFill="1" applyBorder="1"/>
    <xf numFmtId="177" fontId="48" fillId="33" borderId="1" xfId="3" applyNumberFormat="1" applyFont="1" applyFill="1" applyBorder="1" applyAlignment="1">
      <alignment horizontal="center"/>
    </xf>
    <xf numFmtId="0" fontId="48" fillId="19" borderId="1" xfId="3" applyFont="1" applyFill="1" applyBorder="1" applyAlignment="1">
      <alignment horizontal="left"/>
    </xf>
    <xf numFmtId="0" fontId="48" fillId="0" borderId="1" xfId="3" applyFont="1" applyBorder="1" applyAlignment="1">
      <alignment horizontal="center"/>
    </xf>
    <xf numFmtId="0" fontId="48" fillId="0" borderId="1" xfId="3" applyFont="1" applyBorder="1" applyAlignment="1">
      <alignment horizontal="left"/>
    </xf>
    <xf numFmtId="0" fontId="48" fillId="0" borderId="1" xfId="3" applyNumberFormat="1" applyFont="1" applyBorder="1" applyAlignment="1">
      <alignment horizontal="center"/>
    </xf>
    <xf numFmtId="177" fontId="49" fillId="0" borderId="1" xfId="7" applyNumberFormat="1" applyFont="1" applyBorder="1"/>
    <xf numFmtId="177" fontId="3" fillId="0" borderId="1" xfId="7" applyNumberFormat="1" applyFont="1" applyBorder="1"/>
    <xf numFmtId="177" fontId="3" fillId="19" borderId="1" xfId="7" applyNumberFormat="1" applyFont="1" applyFill="1" applyBorder="1"/>
    <xf numFmtId="0" fontId="48" fillId="0" borderId="1" xfId="3" applyFont="1" applyBorder="1"/>
    <xf numFmtId="177" fontId="3" fillId="0" borderId="1" xfId="7" applyNumberFormat="1" applyFont="1" applyBorder="1" applyAlignment="1">
      <alignment horizontal="center"/>
    </xf>
    <xf numFmtId="177" fontId="3" fillId="0" borderId="1" xfId="7" applyNumberFormat="1" applyFont="1" applyFill="1" applyBorder="1" applyAlignment="1">
      <alignment horizontal="center" vertical="center"/>
    </xf>
    <xf numFmtId="3" fontId="48" fillId="0" borderId="1" xfId="3" applyNumberFormat="1" applyFont="1" applyFill="1" applyBorder="1" applyAlignment="1">
      <alignment horizontal="center"/>
    </xf>
    <xf numFmtId="3" fontId="51" fillId="0" borderId="1" xfId="3" applyNumberFormat="1" applyFont="1" applyFill="1" applyBorder="1" applyAlignment="1">
      <alignment horizontal="right" vertical="center"/>
    </xf>
    <xf numFmtId="3" fontId="51" fillId="0" borderId="1" xfId="3" applyNumberFormat="1" applyFont="1" applyFill="1" applyBorder="1" applyAlignment="1">
      <alignment vertical="center"/>
    </xf>
    <xf numFmtId="3" fontId="48" fillId="0" borderId="1" xfId="3" quotePrefix="1" applyNumberFormat="1" applyFont="1" applyFill="1" applyBorder="1" applyAlignment="1">
      <alignment horizontal="center"/>
    </xf>
    <xf numFmtId="0" fontId="48" fillId="0" borderId="1" xfId="3" quotePrefix="1" applyFont="1" applyFill="1" applyBorder="1" applyAlignment="1">
      <alignment horizontal="center"/>
    </xf>
    <xf numFmtId="177" fontId="3" fillId="0" borderId="1" xfId="7" applyNumberFormat="1" applyFont="1" applyFill="1" applyBorder="1"/>
    <xf numFmtId="0" fontId="48" fillId="4" borderId="1" xfId="3" applyFont="1" applyFill="1" applyBorder="1" applyAlignment="1">
      <alignment horizontal="center"/>
    </xf>
    <xf numFmtId="3" fontId="48" fillId="0" borderId="1" xfId="3" applyNumberFormat="1" applyFont="1" applyFill="1" applyBorder="1" applyAlignment="1"/>
    <xf numFmtId="177" fontId="48" fillId="0" borderId="1" xfId="7" applyNumberFormat="1" applyFont="1" applyFill="1" applyBorder="1" applyAlignment="1">
      <alignment vertical="center"/>
    </xf>
    <xf numFmtId="177" fontId="3" fillId="4" borderId="1" xfId="7" applyNumberFormat="1" applyFont="1" applyFill="1" applyBorder="1"/>
    <xf numFmtId="0" fontId="48" fillId="0" borderId="1" xfId="3" applyFont="1" applyFill="1" applyBorder="1"/>
    <xf numFmtId="164" fontId="26" fillId="0" borderId="1" xfId="7" applyNumberFormat="1" applyFont="1" applyBorder="1" applyAlignment="1">
      <alignment horizontal="center" vertical="center"/>
    </xf>
    <xf numFmtId="0" fontId="0" fillId="0" borderId="0" xfId="0" applyBorder="1"/>
    <xf numFmtId="0" fontId="25" fillId="37" borderId="1" xfId="0" applyFont="1" applyFill="1" applyBorder="1" applyAlignment="1">
      <alignment horizontal="center" vertical="center"/>
    </xf>
    <xf numFmtId="0" fontId="14" fillId="37" borderId="1" xfId="0" applyFont="1" applyFill="1" applyBorder="1" applyAlignment="1">
      <alignment horizontal="center" vertical="center"/>
    </xf>
    <xf numFmtId="0" fontId="20" fillId="37" borderId="1" xfId="0" applyFont="1" applyFill="1" applyBorder="1" applyAlignment="1">
      <alignment horizontal="center" vertical="center"/>
    </xf>
    <xf numFmtId="14" fontId="20" fillId="37" borderId="1" xfId="0" applyNumberFormat="1" applyFont="1" applyFill="1" applyBorder="1" applyAlignment="1">
      <alignment horizontal="center" vertical="center"/>
    </xf>
    <xf numFmtId="14" fontId="14" fillId="37" borderId="1" xfId="0" applyNumberFormat="1" applyFont="1" applyFill="1" applyBorder="1" applyAlignment="1">
      <alignment horizontal="center" vertical="center"/>
    </xf>
    <xf numFmtId="0" fontId="24" fillId="37" borderId="1" xfId="0" applyFont="1" applyFill="1" applyBorder="1" applyAlignment="1">
      <alignment horizontal="center" vertical="center"/>
    </xf>
    <xf numFmtId="0" fontId="0" fillId="0" borderId="1" xfId="0" applyFont="1" applyBorder="1" applyAlignment="1">
      <alignment horizontal="left"/>
    </xf>
    <xf numFmtId="168" fontId="0" fillId="0" borderId="1" xfId="0" applyNumberFormat="1" applyFont="1" applyBorder="1"/>
    <xf numFmtId="1" fontId="0" fillId="0" borderId="1" xfId="0" applyNumberFormat="1" applyFont="1" applyBorder="1"/>
    <xf numFmtId="0" fontId="0" fillId="0" borderId="1" xfId="0" applyNumberFormat="1" applyFont="1" applyBorder="1"/>
    <xf numFmtId="0" fontId="0" fillId="19" borderId="1" xfId="0" applyFill="1" applyBorder="1"/>
    <xf numFmtId="0" fontId="41" fillId="0" borderId="1" xfId="0" applyFont="1" applyBorder="1" applyAlignment="1">
      <alignment horizontal="left" vertical="top"/>
    </xf>
    <xf numFmtId="0" fontId="0" fillId="0" borderId="1" xfId="0" applyBorder="1" applyAlignment="1">
      <alignment vertical="center" wrapText="1"/>
    </xf>
    <xf numFmtId="0" fontId="3" fillId="35" borderId="1" xfId="0" quotePrefix="1" applyFont="1" applyFill="1" applyBorder="1" applyAlignment="1">
      <alignment horizontal="center" vertical="center"/>
    </xf>
    <xf numFmtId="0" fontId="3" fillId="35" borderId="1" xfId="0" quotePrefix="1" applyFont="1" applyFill="1" applyBorder="1" applyAlignment="1">
      <alignment horizontal="left" vertical="top"/>
    </xf>
    <xf numFmtId="0" fontId="3" fillId="35" borderId="1" xfId="0" applyFont="1" applyFill="1" applyBorder="1" applyAlignment="1">
      <alignment horizontal="center" vertical="center"/>
    </xf>
    <xf numFmtId="0" fontId="40" fillId="0" borderId="1" xfId="0" applyFont="1" applyBorder="1" applyAlignment="1">
      <alignment horizontal="left" vertical="top"/>
    </xf>
    <xf numFmtId="0" fontId="0" fillId="0" borderId="4" xfId="0" applyBorder="1"/>
    <xf numFmtId="0" fontId="0" fillId="0" borderId="4" xfId="0" applyFill="1" applyBorder="1"/>
    <xf numFmtId="0" fontId="0" fillId="19" borderId="0" xfId="0" applyFill="1" applyBorder="1"/>
    <xf numFmtId="168" fontId="20" fillId="37" borderId="1" xfId="0" applyNumberFormat="1" applyFont="1" applyFill="1" applyBorder="1" applyAlignment="1">
      <alignment horizontal="center" vertical="center"/>
    </xf>
    <xf numFmtId="0" fontId="5" fillId="0" borderId="1" xfId="0" applyFont="1" applyBorder="1" applyAlignment="1">
      <alignment vertical="center"/>
    </xf>
    <xf numFmtId="176" fontId="5" fillId="0" borderId="1" xfId="0" applyNumberFormat="1" applyFont="1" applyBorder="1" applyAlignment="1">
      <alignment vertical="center"/>
    </xf>
    <xf numFmtId="176" fontId="5" fillId="0" borderId="1" xfId="0" applyNumberFormat="1" applyFont="1" applyBorder="1" applyAlignment="1">
      <alignment horizontal="left" vertical="center"/>
    </xf>
    <xf numFmtId="0" fontId="0" fillId="0" borderId="8" xfId="0" applyFont="1" applyBorder="1" applyAlignment="1">
      <alignment horizontal="left"/>
    </xf>
    <xf numFmtId="176" fontId="5" fillId="0" borderId="8" xfId="0" applyNumberFormat="1" applyFont="1" applyBorder="1" applyAlignment="1">
      <alignment vertical="center"/>
    </xf>
    <xf numFmtId="174" fontId="0" fillId="0" borderId="1" xfId="0" quotePrefix="1" applyNumberFormat="1" applyFill="1" applyBorder="1"/>
    <xf numFmtId="0" fontId="0" fillId="0" borderId="1" xfId="0" applyFont="1" applyBorder="1" applyAlignment="1">
      <alignment horizontal="right" vertical="center"/>
    </xf>
    <xf numFmtId="0" fontId="14" fillId="37" borderId="1" xfId="0" applyFont="1" applyFill="1" applyBorder="1" applyAlignment="1">
      <alignment horizontal="center" vertical="center" wrapText="1"/>
    </xf>
    <xf numFmtId="0" fontId="6" fillId="0" borderId="8" xfId="0" applyFont="1" applyBorder="1"/>
    <xf numFmtId="0" fontId="11" fillId="14" borderId="1" xfId="0" applyFont="1" applyFill="1" applyBorder="1" applyAlignment="1">
      <alignment horizontal="center" vertical="center"/>
    </xf>
    <xf numFmtId="1" fontId="0" fillId="0" borderId="1" xfId="0" quotePrefix="1" applyNumberFormat="1" applyFont="1" applyFill="1" applyBorder="1" applyAlignment="1">
      <alignment horizontal="left"/>
    </xf>
    <xf numFmtId="0" fontId="0" fillId="0" borderId="0" xfId="0" pivotButton="1"/>
    <xf numFmtId="164" fontId="2" fillId="0" borderId="1" xfId="7" applyNumberFormat="1" applyFont="1" applyBorder="1" applyAlignment="1">
      <alignment horizontal="left" vertical="center"/>
    </xf>
    <xf numFmtId="0" fontId="53" fillId="0" borderId="0" xfId="12"/>
    <xf numFmtId="164" fontId="53" fillId="0" borderId="0" xfId="12" applyNumberFormat="1"/>
    <xf numFmtId="179" fontId="53" fillId="0" borderId="0" xfId="12" applyNumberFormat="1"/>
    <xf numFmtId="179" fontId="2" fillId="38" borderId="26" xfId="12" applyNumberFormat="1" applyFont="1" applyFill="1" applyBorder="1" applyAlignment="1">
      <alignment horizontal="center"/>
    </xf>
    <xf numFmtId="179" fontId="53" fillId="38" borderId="0" xfId="12" applyNumberFormat="1" applyFill="1" applyAlignment="1">
      <alignment horizontal="center"/>
    </xf>
    <xf numFmtId="179" fontId="53" fillId="39" borderId="0" xfId="12" applyNumberFormat="1" applyFill="1" applyAlignment="1">
      <alignment horizontal="center"/>
    </xf>
    <xf numFmtId="0" fontId="52" fillId="40" borderId="0" xfId="12" applyNumberFormat="1" applyFont="1" applyFill="1" applyAlignment="1">
      <alignment horizontal="center"/>
    </xf>
    <xf numFmtId="0" fontId="52" fillId="40" borderId="0" xfId="12" applyFont="1" applyFill="1"/>
    <xf numFmtId="179" fontId="2" fillId="31" borderId="25" xfId="12" applyNumberFormat="1" applyFont="1" applyFill="1" applyBorder="1" applyAlignment="1">
      <alignment horizontal="center"/>
    </xf>
    <xf numFmtId="179" fontId="53" fillId="31" borderId="0" xfId="12" applyNumberFormat="1" applyFill="1" applyAlignment="1">
      <alignment horizontal="center"/>
    </xf>
    <xf numFmtId="179" fontId="53" fillId="41" borderId="0" xfId="12" applyNumberFormat="1" applyFill="1" applyAlignment="1">
      <alignment horizontal="center"/>
    </xf>
    <xf numFmtId="0" fontId="53" fillId="6" borderId="0" xfId="12" applyNumberFormat="1" applyFill="1" applyAlignment="1">
      <alignment horizontal="center"/>
    </xf>
    <xf numFmtId="0" fontId="53" fillId="6" borderId="0" xfId="12" applyFill="1"/>
    <xf numFmtId="179" fontId="53" fillId="0" borderId="0" xfId="12" applyNumberFormat="1" applyAlignment="1">
      <alignment horizontal="center"/>
    </xf>
    <xf numFmtId="179" fontId="4" fillId="0" borderId="0" xfId="12" applyNumberFormat="1" applyFont="1" applyAlignment="1">
      <alignment horizontal="center"/>
    </xf>
    <xf numFmtId="0" fontId="53" fillId="0" borderId="0" xfId="12" applyNumberFormat="1" applyAlignment="1">
      <alignment horizontal="center"/>
    </xf>
    <xf numFmtId="0" fontId="54" fillId="0" borderId="0" xfId="12" applyFont="1"/>
    <xf numFmtId="0" fontId="2" fillId="42" borderId="27" xfId="12" applyFont="1" applyFill="1" applyBorder="1" applyAlignment="1">
      <alignment horizontal="center"/>
    </xf>
    <xf numFmtId="0" fontId="53" fillId="38" borderId="0" xfId="12" applyFill="1" applyAlignment="1">
      <alignment horizontal="center"/>
    </xf>
    <xf numFmtId="0" fontId="53" fillId="39" borderId="0" xfId="12" applyFill="1" applyAlignment="1">
      <alignment horizontal="center"/>
    </xf>
    <xf numFmtId="0" fontId="52" fillId="40" borderId="0" xfId="12" applyFont="1" applyFill="1" applyAlignment="1">
      <alignment horizontal="center"/>
    </xf>
    <xf numFmtId="0" fontId="25" fillId="0" borderId="1" xfId="0" applyFont="1" applyBorder="1" applyAlignment="1">
      <alignment horizontal="center" vertical="center"/>
    </xf>
    <xf numFmtId="0" fontId="0" fillId="0" borderId="8" xfId="0" applyFont="1" applyBorder="1"/>
    <xf numFmtId="0" fontId="0" fillId="0" borderId="9" xfId="0" applyFont="1" applyBorder="1"/>
    <xf numFmtId="170" fontId="20" fillId="37" borderId="1" xfId="0" applyNumberFormat="1" applyFont="1" applyFill="1" applyBorder="1" applyAlignment="1">
      <alignment horizontal="center" vertical="center"/>
    </xf>
    <xf numFmtId="170" fontId="0" fillId="0" borderId="1" xfId="0" applyNumberFormat="1" applyFont="1" applyBorder="1" applyAlignment="1">
      <alignment horizontal="center"/>
    </xf>
    <xf numFmtId="170" fontId="0" fillId="0" borderId="8" xfId="0" applyNumberFormat="1" applyFont="1" applyBorder="1" applyAlignment="1">
      <alignment horizontal="center"/>
    </xf>
    <xf numFmtId="1" fontId="2" fillId="8" borderId="6" xfId="0" applyNumberFormat="1" applyFont="1" applyFill="1" applyBorder="1" applyAlignment="1">
      <alignment horizontal="center" vertical="center" wrapText="1"/>
    </xf>
    <xf numFmtId="0" fontId="2" fillId="8" borderId="6" xfId="0" applyFont="1" applyFill="1" applyBorder="1" applyAlignment="1">
      <alignment horizontal="center" vertical="center" wrapText="1"/>
    </xf>
    <xf numFmtId="169" fontId="2" fillId="8" borderId="6" xfId="0" applyNumberFormat="1" applyFont="1" applyFill="1" applyBorder="1" applyAlignment="1">
      <alignment horizontal="center" vertical="center" wrapText="1"/>
    </xf>
    <xf numFmtId="0" fontId="2" fillId="8" borderId="6" xfId="0" applyNumberFormat="1" applyFont="1" applyFill="1" applyBorder="1" applyAlignment="1">
      <alignment horizontal="center" vertical="center" wrapText="1"/>
    </xf>
    <xf numFmtId="0" fontId="0" fillId="8" borderId="6" xfId="0" applyFont="1" applyFill="1" applyBorder="1" applyAlignment="1">
      <alignment horizontal="center" vertical="center" wrapText="1"/>
    </xf>
    <xf numFmtId="0" fontId="2" fillId="6" borderId="5" xfId="0" applyFont="1" applyFill="1" applyBorder="1" applyAlignment="1">
      <alignment horizontal="center" vertical="center" wrapText="1"/>
    </xf>
    <xf numFmtId="0" fontId="2" fillId="9" borderId="6" xfId="0" applyFont="1" applyFill="1" applyBorder="1" applyAlignment="1">
      <alignment horizontal="center" vertical="center" wrapText="1"/>
    </xf>
    <xf numFmtId="166" fontId="2" fillId="9" borderId="6" xfId="1" applyFont="1" applyFill="1" applyBorder="1" applyAlignment="1">
      <alignment horizontal="center" vertical="center" wrapText="1"/>
    </xf>
    <xf numFmtId="166" fontId="2" fillId="0" borderId="6" xfId="1" applyFont="1" applyBorder="1" applyAlignment="1">
      <alignment horizontal="center" vertical="center" wrapText="1"/>
    </xf>
    <xf numFmtId="0" fontId="2" fillId="0" borderId="6" xfId="0" applyFont="1" applyBorder="1" applyAlignment="1">
      <alignment horizontal="center" vertical="center" wrapText="1"/>
    </xf>
    <xf numFmtId="0" fontId="2" fillId="2" borderId="6" xfId="0" applyFont="1" applyFill="1" applyBorder="1" applyAlignment="1">
      <alignment horizontal="center" vertical="center" wrapText="1"/>
    </xf>
    <xf numFmtId="0" fontId="2" fillId="2" borderId="6" xfId="0" applyNumberFormat="1" applyFont="1" applyFill="1" applyBorder="1" applyAlignment="1">
      <alignment horizontal="center" vertical="center" wrapText="1"/>
    </xf>
    <xf numFmtId="0" fontId="55" fillId="3" borderId="6" xfId="0" applyFont="1" applyFill="1" applyBorder="1" applyAlignment="1">
      <alignment horizontal="center" vertical="center" wrapText="1"/>
    </xf>
    <xf numFmtId="0" fontId="55" fillId="5" borderId="6" xfId="0" applyFont="1" applyFill="1" applyBorder="1" applyAlignment="1">
      <alignment horizontal="center" vertical="center" wrapText="1"/>
    </xf>
    <xf numFmtId="49" fontId="55" fillId="5" borderId="6" xfId="0" applyNumberFormat="1" applyFont="1" applyFill="1" applyBorder="1" applyAlignment="1">
      <alignment horizontal="center" vertical="center" wrapText="1"/>
    </xf>
    <xf numFmtId="0" fontId="0" fillId="0" borderId="3" xfId="0" applyFont="1" applyFill="1" applyBorder="1"/>
    <xf numFmtId="168" fontId="0" fillId="0" borderId="1" xfId="0" applyNumberFormat="1" applyFont="1" applyFill="1" applyBorder="1"/>
    <xf numFmtId="168" fontId="0" fillId="0" borderId="1" xfId="0" applyNumberFormat="1" applyFont="1" applyFill="1" applyBorder="1" applyAlignment="1">
      <alignment horizontal="center"/>
    </xf>
    <xf numFmtId="0" fontId="0" fillId="0" borderId="1" xfId="0" applyFont="1" applyFill="1" applyBorder="1" applyAlignment="1">
      <alignment wrapText="1"/>
    </xf>
    <xf numFmtId="0" fontId="0" fillId="0" borderId="8" xfId="0" applyFont="1" applyFill="1" applyBorder="1"/>
    <xf numFmtId="0" fontId="0" fillId="0" borderId="8" xfId="0" applyFont="1" applyFill="1" applyBorder="1" applyAlignment="1">
      <alignment horizontal="left"/>
    </xf>
    <xf numFmtId="0" fontId="0" fillId="0" borderId="7" xfId="0" applyFont="1" applyFill="1" applyBorder="1"/>
    <xf numFmtId="168" fontId="0" fillId="0" borderId="8" xfId="0" applyNumberFormat="1" applyFont="1" applyFill="1" applyBorder="1"/>
    <xf numFmtId="1" fontId="0" fillId="0" borderId="8" xfId="0" applyNumberFormat="1" applyFont="1" applyFill="1" applyBorder="1"/>
    <xf numFmtId="168" fontId="0" fillId="0" borderId="8" xfId="0" applyNumberFormat="1" applyFont="1" applyFill="1" applyBorder="1" applyAlignment="1">
      <alignment horizontal="center"/>
    </xf>
    <xf numFmtId="0" fontId="0" fillId="0" borderId="8" xfId="0" applyFont="1" applyFill="1" applyBorder="1" applyAlignment="1">
      <alignment wrapText="1"/>
    </xf>
    <xf numFmtId="0" fontId="0" fillId="0" borderId="8" xfId="0" applyFont="1" applyFill="1" applyBorder="1" applyAlignment="1">
      <alignment horizontal="center"/>
    </xf>
    <xf numFmtId="1" fontId="0" fillId="0" borderId="0" xfId="0" applyNumberFormat="1" applyFont="1"/>
    <xf numFmtId="0" fontId="0" fillId="0" borderId="1" xfId="0" applyFont="1" applyFill="1" applyBorder="1" applyAlignment="1">
      <alignment horizontal="center"/>
    </xf>
    <xf numFmtId="0" fontId="0" fillId="0" borderId="23" xfId="0" applyFont="1" applyBorder="1"/>
    <xf numFmtId="0" fontId="0" fillId="0" borderId="21" xfId="0" applyFont="1" applyFill="1" applyBorder="1" applyAlignment="1">
      <alignment wrapText="1"/>
    </xf>
    <xf numFmtId="0" fontId="0" fillId="0" borderId="21" xfId="0" applyBorder="1"/>
    <xf numFmtId="0" fontId="0" fillId="0" borderId="8" xfId="0" applyBorder="1" applyAlignment="1">
      <alignment horizontal="center" vertical="center"/>
    </xf>
    <xf numFmtId="0" fontId="0" fillId="0" borderId="8" xfId="0" applyFont="1" applyBorder="1" applyAlignment="1">
      <alignment horizontal="center" vertical="center"/>
    </xf>
    <xf numFmtId="14" fontId="25" fillId="37" borderId="1" xfId="0" applyNumberFormat="1" applyFont="1" applyFill="1" applyBorder="1" applyAlignment="1">
      <alignment horizontal="center" vertical="center"/>
    </xf>
    <xf numFmtId="168" fontId="25" fillId="37" borderId="1" xfId="0" applyNumberFormat="1" applyFont="1" applyFill="1" applyBorder="1" applyAlignment="1">
      <alignment horizontal="center" vertical="center"/>
    </xf>
    <xf numFmtId="170" fontId="25" fillId="37" borderId="1" xfId="0" applyNumberFormat="1" applyFont="1" applyFill="1" applyBorder="1" applyAlignment="1">
      <alignment horizontal="center" vertical="center"/>
    </xf>
    <xf numFmtId="0" fontId="0" fillId="0" borderId="8" xfId="0" applyBorder="1"/>
    <xf numFmtId="0" fontId="0" fillId="0" borderId="8" xfId="0" applyFill="1" applyBorder="1" applyAlignment="1">
      <alignment horizontal="center" vertical="center"/>
    </xf>
    <xf numFmtId="1" fontId="0" fillId="0" borderId="1" xfId="0" quotePrefix="1" applyNumberFormat="1" applyFont="1" applyBorder="1" applyAlignment="1">
      <alignment horizontal="left"/>
    </xf>
    <xf numFmtId="14" fontId="25" fillId="0" borderId="1" xfId="0" applyNumberFormat="1" applyFont="1" applyBorder="1" applyAlignment="1">
      <alignment horizontal="center" vertical="center"/>
    </xf>
    <xf numFmtId="172" fontId="56" fillId="0" borderId="1" xfId="0" applyNumberFormat="1" applyFont="1" applyBorder="1" applyAlignment="1">
      <alignment horizontal="center" vertical="center"/>
    </xf>
    <xf numFmtId="0" fontId="5" fillId="0" borderId="1" xfId="0" applyFont="1" applyBorder="1"/>
    <xf numFmtId="37" fontId="26" fillId="0" borderId="1" xfId="8" applyNumberFormat="1" applyFont="1" applyBorder="1" applyAlignment="1">
      <alignment horizontal="center" vertical="center"/>
    </xf>
    <xf numFmtId="0" fontId="0" fillId="0" borderId="28" xfId="0" applyFill="1" applyBorder="1"/>
    <xf numFmtId="0" fontId="0" fillId="0" borderId="21" xfId="0" applyFill="1" applyBorder="1" applyAlignment="1">
      <alignment wrapText="1"/>
    </xf>
    <xf numFmtId="49" fontId="5" fillId="0" borderId="1" xfId="0" applyNumberFormat="1" applyFont="1" applyFill="1" applyBorder="1" applyAlignment="1">
      <alignment horizontal="left" vertical="center"/>
    </xf>
    <xf numFmtId="14" fontId="0" fillId="0" borderId="8" xfId="0" applyNumberFormat="1" applyFont="1" applyFill="1" applyBorder="1"/>
    <xf numFmtId="168" fontId="2" fillId="2" borderId="6" xfId="0" applyNumberFormat="1" applyFont="1" applyFill="1" applyBorder="1" applyAlignment="1">
      <alignment horizontal="center" vertical="center" wrapText="1"/>
    </xf>
    <xf numFmtId="168" fontId="0" fillId="0" borderId="0" xfId="0" applyNumberFormat="1" applyAlignment="1">
      <alignment horizontal="center"/>
    </xf>
    <xf numFmtId="168" fontId="1" fillId="0" borderId="1" xfId="0" applyNumberFormat="1" applyFont="1" applyFill="1" applyBorder="1" applyAlignment="1">
      <alignment horizontal="center"/>
    </xf>
    <xf numFmtId="0" fontId="48" fillId="0" borderId="1" xfId="3" applyFont="1" applyFill="1" applyBorder="1" applyAlignment="1">
      <alignment horizontal="left" vertical="center"/>
    </xf>
    <xf numFmtId="37" fontId="26" fillId="0" borderId="8" xfId="8" applyNumberFormat="1" applyFont="1" applyBorder="1" applyAlignment="1">
      <alignment horizontal="center" vertical="center"/>
    </xf>
    <xf numFmtId="0" fontId="23" fillId="21" borderId="1" xfId="0" applyFont="1" applyFill="1" applyBorder="1" applyAlignment="1">
      <alignment horizontal="center" vertical="center" wrapText="1"/>
    </xf>
    <xf numFmtId="0" fontId="0" fillId="0" borderId="0" xfId="0" applyNumberFormat="1"/>
    <xf numFmtId="164" fontId="0" fillId="0" borderId="0" xfId="0" applyNumberFormat="1"/>
    <xf numFmtId="0" fontId="57" fillId="36" borderId="0" xfId="12" applyFont="1" applyFill="1"/>
    <xf numFmtId="165" fontId="2" fillId="43" borderId="0" xfId="0" applyNumberFormat="1" applyFont="1" applyFill="1"/>
    <xf numFmtId="0" fontId="2" fillId="0" borderId="0" xfId="0" applyFont="1" applyFill="1"/>
    <xf numFmtId="0" fontId="58" fillId="0" borderId="0" xfId="12" applyFont="1" applyAlignment="1">
      <alignment horizontal="center"/>
    </xf>
    <xf numFmtId="0" fontId="59" fillId="0" borderId="0" xfId="12" applyFont="1"/>
    <xf numFmtId="164" fontId="59" fillId="0" borderId="0" xfId="12" applyNumberFormat="1" applyFont="1"/>
    <xf numFmtId="164" fontId="26" fillId="0" borderId="1" xfId="8" applyNumberFormat="1" applyFont="1" applyBorder="1" applyAlignment="1">
      <alignment horizontal="center" vertical="center"/>
    </xf>
    <xf numFmtId="165" fontId="53" fillId="0" borderId="0" xfId="12" applyNumberFormat="1"/>
    <xf numFmtId="180" fontId="53" fillId="0" borderId="0" xfId="12" applyNumberFormat="1"/>
    <xf numFmtId="181" fontId="53" fillId="0" borderId="0" xfId="12" applyNumberFormat="1"/>
    <xf numFmtId="182" fontId="0" fillId="0" borderId="1" xfId="0" applyNumberFormat="1" applyFont="1" applyBorder="1" applyAlignment="1">
      <alignment horizontal="center"/>
    </xf>
    <xf numFmtId="182" fontId="0" fillId="0" borderId="1" xfId="0" applyNumberFormat="1" applyBorder="1" applyAlignment="1">
      <alignment horizontal="center"/>
    </xf>
    <xf numFmtId="182" fontId="0" fillId="0" borderId="8" xfId="0" applyNumberFormat="1" applyFont="1" applyBorder="1" applyAlignment="1">
      <alignment horizontal="center"/>
    </xf>
    <xf numFmtId="0" fontId="23" fillId="8" borderId="1" xfId="0" applyFont="1" applyFill="1" applyBorder="1" applyAlignment="1">
      <alignment horizontal="center" vertical="center" wrapText="1"/>
    </xf>
    <xf numFmtId="169" fontId="23" fillId="8" borderId="1" xfId="0" applyNumberFormat="1" applyFont="1" applyFill="1" applyBorder="1" applyAlignment="1">
      <alignment horizontal="center" vertical="center" wrapText="1"/>
    </xf>
    <xf numFmtId="166" fontId="23" fillId="21" borderId="1" xfId="1" applyNumberFormat="1" applyFont="1" applyFill="1" applyBorder="1" applyAlignment="1">
      <alignment horizontal="center" vertical="center" wrapText="1"/>
    </xf>
    <xf numFmtId="0" fontId="23" fillId="22" borderId="1" xfId="0" applyFont="1" applyFill="1" applyBorder="1" applyAlignment="1">
      <alignment horizontal="center" vertical="center" wrapText="1"/>
    </xf>
    <xf numFmtId="0" fontId="10" fillId="13" borderId="1" xfId="0" applyFont="1" applyFill="1" applyBorder="1" applyAlignment="1">
      <alignment horizontal="center" vertical="center" wrapText="1"/>
    </xf>
    <xf numFmtId="0" fontId="20" fillId="35" borderId="1" xfId="0" applyFont="1" applyFill="1" applyBorder="1" applyAlignment="1">
      <alignment horizontal="center" vertical="center"/>
    </xf>
    <xf numFmtId="170" fontId="20" fillId="0" borderId="1" xfId="0" applyNumberFormat="1" applyFont="1" applyBorder="1" applyAlignment="1">
      <alignment horizontal="center" vertical="center"/>
    </xf>
    <xf numFmtId="14" fontId="14" fillId="0" borderId="1" xfId="0" applyNumberFormat="1" applyFont="1" applyBorder="1" applyAlignment="1">
      <alignment horizontal="center" vertical="center"/>
    </xf>
    <xf numFmtId="168" fontId="25" fillId="0" borderId="1" xfId="0" applyNumberFormat="1" applyFont="1" applyBorder="1" applyAlignment="1">
      <alignment horizontal="center" vertical="center"/>
    </xf>
    <xf numFmtId="170" fontId="25" fillId="0" borderId="1" xfId="0" applyNumberFormat="1" applyFont="1" applyBorder="1" applyAlignment="1">
      <alignment horizontal="center" vertical="center"/>
    </xf>
    <xf numFmtId="0" fontId="14" fillId="0" borderId="1" xfId="0" applyFont="1" applyBorder="1" applyAlignment="1">
      <alignment horizontal="center" vertical="center"/>
    </xf>
    <xf numFmtId="0" fontId="14" fillId="0" borderId="1" xfId="0" applyFont="1" applyBorder="1" applyAlignment="1">
      <alignment horizontal="center" vertical="center" wrapText="1"/>
    </xf>
    <xf numFmtId="0" fontId="25" fillId="14" borderId="1" xfId="0" applyFont="1" applyFill="1" applyBorder="1" applyAlignment="1">
      <alignment horizontal="center" vertical="center"/>
    </xf>
    <xf numFmtId="0" fontId="14" fillId="0" borderId="1" xfId="0" applyFont="1" applyFill="1" applyBorder="1" applyAlignment="1">
      <alignment horizontal="center" vertical="center"/>
    </xf>
    <xf numFmtId="15" fontId="14" fillId="0" borderId="1" xfId="0" applyNumberFormat="1" applyFont="1" applyBorder="1" applyAlignment="1">
      <alignment horizontal="center" vertical="center"/>
    </xf>
    <xf numFmtId="0" fontId="13" fillId="14" borderId="1" xfId="0" applyFont="1" applyFill="1" applyBorder="1" applyAlignment="1">
      <alignment horizontal="center" vertical="center"/>
    </xf>
    <xf numFmtId="174" fontId="20" fillId="0" borderId="1" xfId="0" quotePrefix="1" applyNumberFormat="1" applyFont="1" applyBorder="1" applyAlignment="1">
      <alignment horizontal="center" vertical="center"/>
    </xf>
    <xf numFmtId="164" fontId="34" fillId="26" borderId="1" xfId="7" applyNumberFormat="1" applyFont="1" applyFill="1" applyBorder="1" applyAlignment="1">
      <alignment horizontal="center" vertical="center" wrapText="1"/>
    </xf>
    <xf numFmtId="164" fontId="26" fillId="0" borderId="1" xfId="8" applyNumberFormat="1" applyFont="1" applyBorder="1" applyAlignment="1">
      <alignment horizontal="center" vertical="center" wrapText="1"/>
    </xf>
    <xf numFmtId="0" fontId="0" fillId="0" borderId="4" xfId="0" applyFont="1" applyFill="1" applyBorder="1"/>
    <xf numFmtId="0" fontId="0" fillId="0" borderId="30" xfId="0" applyBorder="1"/>
    <xf numFmtId="1" fontId="0" fillId="0" borderId="8" xfId="0" applyNumberFormat="1" applyBorder="1"/>
    <xf numFmtId="1" fontId="1" fillId="0" borderId="8" xfId="0" applyNumberFormat="1" applyFont="1" applyFill="1" applyBorder="1"/>
    <xf numFmtId="1" fontId="0" fillId="0" borderId="6" xfId="0" applyNumberFormat="1" applyFont="1" applyFill="1" applyBorder="1"/>
    <xf numFmtId="1" fontId="1" fillId="0" borderId="6" xfId="0" applyNumberFormat="1" applyFont="1" applyFill="1" applyBorder="1"/>
    <xf numFmtId="1" fontId="0" fillId="0" borderId="21" xfId="0" applyNumberFormat="1" applyFill="1" applyBorder="1"/>
    <xf numFmtId="1" fontId="0" fillId="0" borderId="21" xfId="0" applyNumberFormat="1" applyFont="1" applyFill="1" applyBorder="1"/>
    <xf numFmtId="0" fontId="48" fillId="0" borderId="9" xfId="0" applyFont="1" applyBorder="1"/>
    <xf numFmtId="0" fontId="1" fillId="0" borderId="1" xfId="3" applyFont="1" applyBorder="1" applyAlignment="1">
      <alignment horizontal="center" vertical="center"/>
    </xf>
    <xf numFmtId="177" fontId="1" fillId="0" borderId="1" xfId="8" applyNumberFormat="1" applyFont="1" applyBorder="1" applyAlignment="1">
      <alignment horizontal="center" vertical="center" wrapText="1"/>
    </xf>
    <xf numFmtId="164" fontId="1" fillId="0" borderId="1" xfId="8" applyNumberFormat="1" applyFont="1" applyBorder="1" applyAlignment="1">
      <alignment horizontal="center" vertical="center"/>
    </xf>
    <xf numFmtId="0" fontId="2" fillId="44" borderId="1" xfId="9" applyFont="1" applyFill="1" applyBorder="1" applyAlignment="1">
      <alignment horizontal="center" vertical="center" wrapText="1"/>
    </xf>
    <xf numFmtId="177" fontId="2" fillId="44" borderId="1" xfId="8" applyNumberFormat="1" applyFont="1" applyFill="1" applyBorder="1" applyAlignment="1">
      <alignment horizontal="center" vertical="center" wrapText="1"/>
    </xf>
    <xf numFmtId="14" fontId="13" fillId="0" borderId="1" xfId="0" applyNumberFormat="1" applyFont="1" applyBorder="1" applyAlignment="1">
      <alignment horizontal="center" vertical="center"/>
    </xf>
    <xf numFmtId="0" fontId="0" fillId="0" borderId="1" xfId="0" applyFont="1" applyBorder="1" applyAlignment="1">
      <alignment horizontal="left" vertical="center"/>
    </xf>
    <xf numFmtId="0" fontId="0" fillId="0" borderId="9" xfId="0" applyBorder="1" applyAlignment="1">
      <alignment horizontal="left"/>
    </xf>
    <xf numFmtId="0" fontId="5" fillId="0" borderId="1" xfId="0" applyFont="1" applyBorder="1" applyAlignment="1">
      <alignment horizontal="center" vertical="center"/>
    </xf>
    <xf numFmtId="0" fontId="46" fillId="0" borderId="0" xfId="3" applyFont="1"/>
    <xf numFmtId="0" fontId="0" fillId="0" borderId="1" xfId="3" applyFont="1" applyBorder="1" applyAlignment="1">
      <alignment horizontal="center" vertical="center"/>
    </xf>
    <xf numFmtId="14" fontId="24" fillId="37" borderId="1" xfId="0" applyNumberFormat="1" applyFont="1" applyFill="1" applyBorder="1" applyAlignment="1">
      <alignment horizontal="center" vertical="center"/>
    </xf>
    <xf numFmtId="0" fontId="24" fillId="37" borderId="1" xfId="0" applyFont="1" applyFill="1" applyBorder="1" applyAlignment="1">
      <alignment horizontal="center" vertical="center" wrapText="1"/>
    </xf>
    <xf numFmtId="0" fontId="0" fillId="0" borderId="1" xfId="0" quotePrefix="1" applyFont="1" applyBorder="1"/>
    <xf numFmtId="0" fontId="0" fillId="0" borderId="1" xfId="0" applyFont="1" applyBorder="1" applyAlignment="1"/>
    <xf numFmtId="170" fontId="5" fillId="0" borderId="8" xfId="0" applyNumberFormat="1" applyFont="1" applyBorder="1" applyAlignment="1">
      <alignment horizontal="center"/>
    </xf>
    <xf numFmtId="0" fontId="0" fillId="0" borderId="28" xfId="0" applyFont="1" applyFill="1" applyBorder="1"/>
    <xf numFmtId="0" fontId="0" fillId="0" borderId="9" xfId="0" applyFill="1" applyBorder="1"/>
    <xf numFmtId="0" fontId="26" fillId="0" borderId="0" xfId="3" applyBorder="1" applyAlignment="1">
      <alignment horizontal="center" vertical="center"/>
    </xf>
    <xf numFmtId="0" fontId="26" fillId="0" borderId="0" xfId="3" applyBorder="1"/>
    <xf numFmtId="177" fontId="26" fillId="0" borderId="0" xfId="8" applyNumberFormat="1" applyFont="1" applyBorder="1" applyAlignment="1">
      <alignment horizontal="center" vertical="center"/>
    </xf>
    <xf numFmtId="177" fontId="26" fillId="0" borderId="0" xfId="8" applyNumberFormat="1" applyFont="1" applyBorder="1"/>
    <xf numFmtId="0" fontId="26" fillId="0" borderId="0" xfId="3" applyBorder="1" applyAlignment="1">
      <alignment vertical="center"/>
    </xf>
    <xf numFmtId="0" fontId="5" fillId="7" borderId="9" xfId="0" applyNumberFormat="1" applyFont="1" applyFill="1" applyBorder="1" applyAlignment="1" applyProtection="1"/>
    <xf numFmtId="49" fontId="5" fillId="0" borderId="9" xfId="0" applyNumberFormat="1" applyFont="1" applyFill="1" applyBorder="1" applyAlignment="1">
      <alignment vertical="center"/>
    </xf>
    <xf numFmtId="0" fontId="0" fillId="0" borderId="23" xfId="0" applyBorder="1"/>
    <xf numFmtId="168" fontId="0" fillId="0" borderId="8" xfId="0" applyNumberFormat="1" applyBorder="1" applyAlignment="1">
      <alignment horizontal="right"/>
    </xf>
    <xf numFmtId="49" fontId="5" fillId="0" borderId="1" xfId="0" applyNumberFormat="1" applyFont="1" applyBorder="1" applyAlignment="1">
      <alignment vertical="center"/>
    </xf>
    <xf numFmtId="0" fontId="2" fillId="45" borderId="1" xfId="0" applyFont="1" applyFill="1" applyBorder="1" applyAlignment="1">
      <alignment horizontal="center" vertical="center"/>
    </xf>
    <xf numFmtId="172" fontId="20" fillId="37" borderId="1" xfId="0" applyNumberFormat="1" applyFont="1" applyFill="1" applyBorder="1" applyAlignment="1">
      <alignment horizontal="center" vertical="center"/>
    </xf>
    <xf numFmtId="0" fontId="0" fillId="0" borderId="1" xfId="0" applyBorder="1" applyAlignment="1">
      <alignment horizontal="center" vertical="center"/>
    </xf>
    <xf numFmtId="177" fontId="3" fillId="0" borderId="1" xfId="7" applyNumberFormat="1" applyFont="1" applyFill="1" applyBorder="1" applyAlignment="1">
      <alignment horizontal="left"/>
    </xf>
    <xf numFmtId="177" fontId="3" fillId="0" borderId="1" xfId="7" applyNumberFormat="1" applyFont="1" applyBorder="1" applyAlignment="1">
      <alignment horizontal="left"/>
    </xf>
    <xf numFmtId="177" fontId="48" fillId="0" borderId="1" xfId="3" applyNumberFormat="1" applyFont="1" applyBorder="1" applyAlignment="1">
      <alignment horizontal="left"/>
    </xf>
    <xf numFmtId="177" fontId="48" fillId="0" borderId="1" xfId="3" applyNumberFormat="1" applyFont="1" applyFill="1" applyBorder="1" applyAlignment="1">
      <alignment horizontal="center" vertical="center"/>
    </xf>
    <xf numFmtId="177" fontId="26" fillId="0" borderId="7" xfId="8" applyNumberFormat="1" applyFont="1" applyBorder="1" applyAlignment="1">
      <alignment horizontal="center" vertical="center" wrapText="1"/>
    </xf>
    <xf numFmtId="164" fontId="26" fillId="0" borderId="8" xfId="8" applyNumberFormat="1" applyFont="1" applyBorder="1" applyAlignment="1">
      <alignment horizontal="center" vertical="center"/>
    </xf>
    <xf numFmtId="164" fontId="1" fillId="0" borderId="8" xfId="8" applyNumberFormat="1" applyFont="1" applyBorder="1" applyAlignment="1">
      <alignment horizontal="center" vertical="center"/>
    </xf>
    <xf numFmtId="0" fontId="25" fillId="0" borderId="1" xfId="0" applyNumberFormat="1" applyFont="1" applyBorder="1" applyAlignment="1">
      <alignment horizontal="center" vertical="center"/>
    </xf>
    <xf numFmtId="174" fontId="25" fillId="0" borderId="1" xfId="0" quotePrefix="1" applyNumberFormat="1" applyFont="1" applyBorder="1" applyAlignment="1">
      <alignment horizontal="center" vertical="center"/>
    </xf>
    <xf numFmtId="0" fontId="0" fillId="0" borderId="1" xfId="0" applyFont="1" applyBorder="1" applyAlignment="1">
      <alignment vertical="center"/>
    </xf>
    <xf numFmtId="0" fontId="1" fillId="0" borderId="8" xfId="0" applyFont="1" applyFill="1" applyBorder="1"/>
    <xf numFmtId="0" fontId="0" fillId="0" borderId="1" xfId="0" applyFont="1" applyBorder="1" applyAlignment="1">
      <alignment horizontal="center"/>
    </xf>
    <xf numFmtId="0" fontId="0" fillId="0" borderId="1" xfId="0" quotePrefix="1" applyFill="1" applyBorder="1"/>
    <xf numFmtId="0" fontId="0" fillId="0" borderId="1" xfId="0" applyNumberFormat="1" applyFill="1" applyBorder="1" applyAlignment="1" applyProtection="1"/>
    <xf numFmtId="1" fontId="0" fillId="0" borderId="8" xfId="0" applyNumberFormat="1" applyFill="1" applyBorder="1"/>
    <xf numFmtId="0" fontId="0" fillId="0" borderId="1" xfId="0" applyNumberFormat="1" applyFill="1" applyBorder="1" applyAlignment="1" applyProtection="1">
      <alignment horizontal="center"/>
    </xf>
    <xf numFmtId="0" fontId="0" fillId="0" borderId="31" xfId="0" applyBorder="1"/>
    <xf numFmtId="168" fontId="0" fillId="0" borderId="31" xfId="0" applyNumberFormat="1" applyBorder="1" applyAlignment="1">
      <alignment horizontal="right"/>
    </xf>
    <xf numFmtId="0" fontId="0" fillId="0" borderId="1" xfId="0" applyFont="1" applyBorder="1" applyAlignment="1">
      <alignment wrapText="1"/>
    </xf>
    <xf numFmtId="0" fontId="0" fillId="0" borderId="33" xfId="0" applyFont="1" applyBorder="1"/>
    <xf numFmtId="0" fontId="0" fillId="0" borderId="1" xfId="0" applyNumberFormat="1" applyFont="1" applyBorder="1" applyAlignment="1"/>
    <xf numFmtId="0" fontId="0" fillId="0" borderId="1" xfId="0" applyBorder="1" applyAlignment="1">
      <alignment horizontal="center" vertical="center"/>
    </xf>
    <xf numFmtId="0" fontId="0" fillId="0" borderId="31" xfId="0" applyFont="1" applyBorder="1"/>
    <xf numFmtId="1" fontId="0" fillId="0" borderId="8" xfId="0" applyNumberFormat="1" applyFont="1" applyBorder="1"/>
    <xf numFmtId="0" fontId="0" fillId="0" borderId="34" xfId="0" applyFill="1" applyBorder="1"/>
    <xf numFmtId="0" fontId="1" fillId="0" borderId="8" xfId="0" applyFont="1" applyFill="1" applyBorder="1" applyAlignment="1">
      <alignment horizontal="left"/>
    </xf>
    <xf numFmtId="0" fontId="4" fillId="0" borderId="8" xfId="0" applyFont="1" applyFill="1" applyBorder="1"/>
    <xf numFmtId="0" fontId="5" fillId="0" borderId="8" xfId="0" applyNumberFormat="1" applyFont="1" applyFill="1" applyBorder="1" applyAlignment="1" applyProtection="1"/>
    <xf numFmtId="0" fontId="4" fillId="0" borderId="8" xfId="0" applyFont="1" applyBorder="1"/>
    <xf numFmtId="171" fontId="0" fillId="0" borderId="34" xfId="0" applyNumberFormat="1" applyBorder="1"/>
    <xf numFmtId="168" fontId="0" fillId="0" borderId="8" xfId="0" applyNumberFormat="1" applyBorder="1"/>
    <xf numFmtId="168" fontId="0" fillId="0" borderId="8" xfId="0" applyNumberFormat="1" applyBorder="1" applyAlignment="1">
      <alignment horizontal="center"/>
    </xf>
    <xf numFmtId="0" fontId="0" fillId="0" borderId="8" xfId="0" applyBorder="1" applyAlignment="1">
      <alignment wrapText="1"/>
    </xf>
    <xf numFmtId="0" fontId="0" fillId="0" borderId="8" xfId="0" applyBorder="1" applyAlignment="1">
      <alignment horizontal="center"/>
    </xf>
    <xf numFmtId="49" fontId="5" fillId="0" borderId="8" xfId="0" applyNumberFormat="1" applyFont="1" applyFill="1" applyBorder="1" applyAlignment="1">
      <alignment horizontal="left" vertical="center"/>
    </xf>
    <xf numFmtId="0" fontId="0" fillId="0" borderId="34" xfId="0" applyFont="1" applyFill="1" applyBorder="1"/>
    <xf numFmtId="0" fontId="0" fillId="0" borderId="32" xfId="0" applyFont="1" applyBorder="1"/>
    <xf numFmtId="0" fontId="0" fillId="0" borderId="32" xfId="0" applyBorder="1"/>
    <xf numFmtId="0" fontId="1" fillId="0" borderId="6" xfId="0" applyFont="1" applyFill="1" applyBorder="1"/>
    <xf numFmtId="0" fontId="1" fillId="0" borderId="6" xfId="0" applyFont="1" applyFill="1" applyBorder="1" applyAlignment="1">
      <alignment horizontal="left"/>
    </xf>
    <xf numFmtId="0" fontId="0" fillId="0" borderId="6" xfId="0" applyFont="1" applyFill="1" applyBorder="1"/>
    <xf numFmtId="0" fontId="0" fillId="0" borderId="5" xfId="0" applyFill="1" applyBorder="1"/>
    <xf numFmtId="0" fontId="0" fillId="0" borderId="6" xfId="0" applyFill="1" applyBorder="1"/>
    <xf numFmtId="168" fontId="0" fillId="0" borderId="6" xfId="0" applyNumberFormat="1" applyFill="1" applyBorder="1"/>
    <xf numFmtId="0" fontId="0" fillId="0" borderId="6" xfId="0" applyNumberFormat="1" applyFill="1" applyBorder="1"/>
    <xf numFmtId="0" fontId="0" fillId="0" borderId="6" xfId="0" applyFill="1" applyBorder="1" applyAlignment="1">
      <alignment horizontal="center" vertical="center"/>
    </xf>
    <xf numFmtId="0" fontId="0" fillId="0" borderId="6" xfId="0" applyFill="1" applyBorder="1" applyAlignment="1">
      <alignment horizontal="center"/>
    </xf>
    <xf numFmtId="168" fontId="0" fillId="0" borderId="6" xfId="0" applyNumberFormat="1" applyFill="1" applyBorder="1" applyAlignment="1">
      <alignment horizontal="center"/>
    </xf>
    <xf numFmtId="170" fontId="0" fillId="0" borderId="6" xfId="0" applyNumberFormat="1" applyBorder="1" applyAlignment="1">
      <alignment horizontal="center"/>
    </xf>
    <xf numFmtId="168" fontId="1" fillId="0" borderId="6" xfId="0" applyNumberFormat="1" applyFont="1" applyFill="1" applyBorder="1" applyAlignment="1">
      <alignment horizontal="center"/>
    </xf>
    <xf numFmtId="0" fontId="0" fillId="0" borderId="6" xfId="0" applyFill="1" applyBorder="1" applyAlignment="1">
      <alignment wrapText="1"/>
    </xf>
    <xf numFmtId="0" fontId="0" fillId="0" borderId="6" xfId="0" applyFont="1" applyBorder="1" applyAlignment="1">
      <alignment horizontal="left"/>
    </xf>
    <xf numFmtId="0" fontId="0" fillId="0" borderId="6" xfId="0" applyFont="1" applyFill="1" applyBorder="1" applyAlignment="1">
      <alignment horizontal="left"/>
    </xf>
    <xf numFmtId="0" fontId="3" fillId="0" borderId="6" xfId="0" applyFont="1" applyFill="1" applyBorder="1" applyAlignment="1">
      <alignment horizontal="center"/>
    </xf>
    <xf numFmtId="14" fontId="0" fillId="0" borderId="6" xfId="0" applyNumberFormat="1" applyFill="1" applyBorder="1"/>
    <xf numFmtId="0" fontId="1" fillId="0" borderId="21" xfId="0" applyFont="1" applyFill="1" applyBorder="1"/>
    <xf numFmtId="0" fontId="0" fillId="0" borderId="21" xfId="0" applyFont="1" applyFill="1" applyBorder="1" applyAlignment="1">
      <alignment horizontal="left"/>
    </xf>
    <xf numFmtId="0" fontId="0" fillId="0" borderId="21" xfId="0" applyFont="1" applyFill="1" applyBorder="1"/>
    <xf numFmtId="0" fontId="0" fillId="0" borderId="21" xfId="0" applyFill="1" applyBorder="1"/>
    <xf numFmtId="168" fontId="0" fillId="0" borderId="21" xfId="0" applyNumberFormat="1" applyFill="1" applyBorder="1"/>
    <xf numFmtId="1" fontId="1" fillId="0" borderId="21" xfId="0" applyNumberFormat="1" applyFont="1" applyFill="1" applyBorder="1"/>
    <xf numFmtId="0" fontId="0" fillId="0" borderId="21" xfId="0" applyNumberFormat="1" applyFill="1" applyBorder="1"/>
    <xf numFmtId="0" fontId="0" fillId="0" borderId="21" xfId="0" applyFill="1" applyBorder="1" applyAlignment="1">
      <alignment horizontal="center" vertical="center"/>
    </xf>
    <xf numFmtId="0" fontId="0" fillId="0" borderId="21" xfId="0" applyFill="1" applyBorder="1" applyAlignment="1">
      <alignment horizontal="center"/>
    </xf>
    <xf numFmtId="168" fontId="0" fillId="0" borderId="21" xfId="0" applyNumberFormat="1" applyFill="1" applyBorder="1" applyAlignment="1">
      <alignment horizontal="center"/>
    </xf>
    <xf numFmtId="170" fontId="0" fillId="0" borderId="21" xfId="0" applyNumberFormat="1" applyBorder="1" applyAlignment="1">
      <alignment horizontal="center"/>
    </xf>
    <xf numFmtId="1" fontId="0" fillId="0" borderId="6" xfId="0" applyNumberFormat="1" applyBorder="1"/>
    <xf numFmtId="182" fontId="0" fillId="0" borderId="6" xfId="0" applyNumberFormat="1" applyFont="1" applyBorder="1" applyAlignment="1">
      <alignment horizontal="center"/>
    </xf>
    <xf numFmtId="14" fontId="0" fillId="0" borderId="21" xfId="0" applyNumberFormat="1" applyFont="1" applyFill="1" applyBorder="1"/>
    <xf numFmtId="168" fontId="1" fillId="0" borderId="21" xfId="0" applyNumberFormat="1" applyFont="1" applyFill="1" applyBorder="1" applyAlignment="1">
      <alignment horizontal="center"/>
    </xf>
    <xf numFmtId="0" fontId="0" fillId="0" borderId="5" xfId="0" applyFont="1" applyFill="1" applyBorder="1"/>
    <xf numFmtId="168" fontId="0" fillId="0" borderId="6" xfId="0" applyNumberFormat="1" applyFont="1" applyFill="1" applyBorder="1"/>
    <xf numFmtId="168" fontId="0" fillId="0" borderId="6" xfId="0" applyNumberFormat="1" applyFont="1" applyFill="1" applyBorder="1" applyAlignment="1">
      <alignment horizontal="center"/>
    </xf>
    <xf numFmtId="170" fontId="0" fillId="0" borderId="6" xfId="0" applyNumberFormat="1" applyFont="1" applyBorder="1" applyAlignment="1">
      <alignment horizontal="center"/>
    </xf>
    <xf numFmtId="0" fontId="0" fillId="0" borderId="6" xfId="0" applyFont="1" applyFill="1" applyBorder="1" applyAlignment="1">
      <alignment wrapText="1"/>
    </xf>
    <xf numFmtId="168" fontId="0" fillId="0" borderId="21" xfId="0" applyNumberFormat="1" applyFont="1" applyFill="1" applyBorder="1"/>
    <xf numFmtId="182" fontId="0" fillId="0" borderId="21" xfId="0" applyNumberFormat="1" applyFont="1" applyBorder="1" applyAlignment="1">
      <alignment horizontal="center"/>
    </xf>
    <xf numFmtId="168" fontId="0" fillId="0" borderId="21" xfId="0" applyNumberFormat="1" applyFont="1" applyFill="1" applyBorder="1" applyAlignment="1">
      <alignment horizontal="center"/>
    </xf>
    <xf numFmtId="0" fontId="0" fillId="0" borderId="6" xfId="0" quotePrefix="1" applyFont="1" applyFill="1" applyBorder="1"/>
    <xf numFmtId="1" fontId="0" fillId="0" borderId="6" xfId="0" quotePrefix="1" applyNumberFormat="1" applyFont="1" applyFill="1" applyBorder="1" applyAlignment="1">
      <alignment horizontal="left"/>
    </xf>
    <xf numFmtId="0" fontId="5" fillId="0" borderId="6" xfId="0" applyFont="1" applyBorder="1" applyAlignment="1">
      <alignment vertical="center"/>
    </xf>
    <xf numFmtId="0" fontId="0" fillId="0" borderId="36" xfId="0" applyFont="1" applyBorder="1"/>
    <xf numFmtId="176" fontId="5" fillId="0" borderId="6" xfId="0" applyNumberFormat="1" applyFont="1" applyBorder="1" applyAlignment="1">
      <alignment horizontal="left" vertical="center"/>
    </xf>
    <xf numFmtId="176" fontId="5" fillId="0" borderId="6" xfId="0" applyNumberFormat="1" applyFont="1" applyBorder="1" applyAlignment="1">
      <alignment vertical="center"/>
    </xf>
    <xf numFmtId="14" fontId="0" fillId="0" borderId="6" xfId="0" applyNumberFormat="1" applyFont="1" applyFill="1" applyBorder="1"/>
    <xf numFmtId="0" fontId="0" fillId="0" borderId="6" xfId="0" applyFont="1" applyFill="1" applyBorder="1" applyAlignment="1">
      <alignment horizontal="center"/>
    </xf>
    <xf numFmtId="0" fontId="0" fillId="0" borderId="36" xfId="0" applyBorder="1"/>
    <xf numFmtId="168" fontId="0" fillId="0" borderId="36" xfId="0" applyNumberFormat="1" applyBorder="1" applyAlignment="1">
      <alignment horizontal="right"/>
    </xf>
    <xf numFmtId="49" fontId="5" fillId="0" borderId="6" xfId="0" applyNumberFormat="1" applyFont="1" applyFill="1" applyBorder="1" applyAlignment="1">
      <alignment horizontal="left" vertical="center"/>
    </xf>
    <xf numFmtId="170" fontId="0" fillId="0" borderId="21" xfId="0" applyNumberFormat="1" applyFont="1" applyBorder="1" applyAlignment="1">
      <alignment horizontal="center"/>
    </xf>
    <xf numFmtId="0" fontId="2" fillId="23" borderId="1" xfId="0" applyFont="1" applyFill="1" applyBorder="1" applyAlignment="1">
      <alignment horizontal="center" vertical="center"/>
    </xf>
    <xf numFmtId="0" fontId="2" fillId="6" borderId="1" xfId="0" applyFont="1" applyFill="1" applyBorder="1" applyAlignment="1">
      <alignment horizontal="center" vertical="center"/>
    </xf>
    <xf numFmtId="1" fontId="23" fillId="8" borderId="1" xfId="0" applyNumberFormat="1" applyFont="1" applyFill="1" applyBorder="1" applyAlignment="1">
      <alignment horizontal="center" vertical="center" wrapText="1"/>
    </xf>
    <xf numFmtId="0" fontId="0" fillId="0" borderId="1" xfId="0" applyBorder="1" applyAlignment="1">
      <alignment horizontal="center" vertical="center"/>
    </xf>
    <xf numFmtId="0" fontId="20" fillId="0" borderId="1" xfId="0" applyFont="1" applyBorder="1" applyAlignment="1">
      <alignment horizontal="center" vertical="center"/>
    </xf>
    <xf numFmtId="0" fontId="20" fillId="0" borderId="1" xfId="0" quotePrefix="1" applyFont="1" applyBorder="1" applyAlignment="1">
      <alignment horizontal="center" vertical="center"/>
    </xf>
    <xf numFmtId="0" fontId="0" fillId="0" borderId="1" xfId="0" applyFont="1" applyFill="1" applyBorder="1" applyAlignment="1">
      <alignment vertical="center"/>
    </xf>
    <xf numFmtId="0" fontId="20" fillId="0" borderId="1" xfId="0" applyFont="1" applyBorder="1" applyAlignment="1">
      <alignment horizontal="center" vertical="center"/>
    </xf>
    <xf numFmtId="0" fontId="0" fillId="0" borderId="1" xfId="0" applyBorder="1" applyAlignment="1">
      <alignment horizontal="center" vertical="center"/>
    </xf>
    <xf numFmtId="0" fontId="0" fillId="0" borderId="8" xfId="0" applyFont="1" applyBorder="1" applyAlignment="1"/>
    <xf numFmtId="0" fontId="0" fillId="0" borderId="8" xfId="0" applyFont="1" applyBorder="1" applyAlignment="1">
      <alignment horizontal="right" vertical="center"/>
    </xf>
    <xf numFmtId="0" fontId="0" fillId="0" borderId="31" xfId="0" applyFont="1" applyBorder="1" applyAlignment="1">
      <alignment horizontal="left"/>
    </xf>
    <xf numFmtId="0" fontId="0" fillId="0" borderId="28" xfId="0" applyBorder="1"/>
    <xf numFmtId="0" fontId="0" fillId="0" borderId="31" xfId="0" applyFont="1" applyFill="1" applyBorder="1"/>
    <xf numFmtId="0" fontId="1" fillId="0" borderId="9" xfId="0" applyFont="1" applyFill="1" applyBorder="1"/>
    <xf numFmtId="1" fontId="0" fillId="0" borderId="8" xfId="0" quotePrefix="1" applyNumberFormat="1" applyFont="1" applyFill="1" applyBorder="1" applyAlignment="1">
      <alignment horizontal="left"/>
    </xf>
    <xf numFmtId="0" fontId="0" fillId="0" borderId="6" xfId="0" applyFont="1" applyBorder="1" applyAlignment="1"/>
    <xf numFmtId="0" fontId="0" fillId="0" borderId="0" xfId="0" applyFont="1" applyFill="1" applyBorder="1"/>
    <xf numFmtId="168" fontId="0" fillId="0" borderId="31" xfId="0" applyNumberFormat="1" applyFont="1" applyFill="1" applyBorder="1"/>
    <xf numFmtId="168" fontId="0" fillId="0" borderId="9" xfId="0" applyNumberFormat="1" applyFill="1" applyBorder="1"/>
    <xf numFmtId="168" fontId="0" fillId="0" borderId="6" xfId="0" applyNumberFormat="1" applyBorder="1" applyAlignment="1">
      <alignment horizontal="right"/>
    </xf>
    <xf numFmtId="168" fontId="0" fillId="0" borderId="30" xfId="0" applyNumberFormat="1" applyFill="1" applyBorder="1"/>
    <xf numFmtId="0" fontId="0" fillId="0" borderId="0" xfId="0" applyNumberFormat="1" applyFill="1" applyBorder="1" applyAlignment="1" applyProtection="1"/>
    <xf numFmtId="1" fontId="0" fillId="0" borderId="0" xfId="0" applyNumberFormat="1" applyFont="1" applyBorder="1"/>
    <xf numFmtId="49" fontId="5" fillId="0" borderId="21" xfId="0" applyNumberFormat="1" applyFont="1" applyFill="1" applyBorder="1" applyAlignment="1">
      <alignment horizontal="left" vertical="center"/>
    </xf>
    <xf numFmtId="0" fontId="0" fillId="0" borderId="8" xfId="0" applyNumberFormat="1" applyFont="1" applyFill="1" applyBorder="1"/>
    <xf numFmtId="0" fontId="0" fillId="0" borderId="1" xfId="0" applyFont="1" applyFill="1" applyBorder="1" applyAlignment="1">
      <alignment horizontal="right" vertical="center"/>
    </xf>
    <xf numFmtId="172" fontId="6" fillId="0" borderId="8" xfId="0" applyNumberFormat="1" applyFont="1" applyBorder="1"/>
    <xf numFmtId="170" fontId="5" fillId="0" borderId="1" xfId="0" applyNumberFormat="1" applyFont="1" applyBorder="1" applyAlignment="1">
      <alignment horizontal="center"/>
    </xf>
    <xf numFmtId="1" fontId="0" fillId="0" borderId="6" xfId="0" applyNumberFormat="1" applyFill="1" applyBorder="1"/>
    <xf numFmtId="0" fontId="0" fillId="0" borderId="9" xfId="0" quotePrefix="1" applyBorder="1"/>
    <xf numFmtId="0" fontId="0" fillId="0" borderId="9" xfId="0" quotePrefix="1" applyFill="1" applyBorder="1"/>
    <xf numFmtId="0" fontId="0" fillId="0" borderId="21" xfId="0" applyNumberFormat="1" applyFill="1" applyBorder="1" applyAlignment="1" applyProtection="1"/>
    <xf numFmtId="0" fontId="0" fillId="0" borderId="31" xfId="0" applyFont="1" applyBorder="1" applyAlignment="1">
      <alignment horizontal="left" vertical="center"/>
    </xf>
    <xf numFmtId="0" fontId="5" fillId="0" borderId="31" xfId="0" applyFont="1" applyBorder="1" applyAlignment="1">
      <alignment vertical="center"/>
    </xf>
    <xf numFmtId="0" fontId="0" fillId="0" borderId="9" xfId="0" applyFont="1" applyFill="1" applyBorder="1" applyAlignment="1">
      <alignment horizontal="left" vertical="center"/>
    </xf>
    <xf numFmtId="0" fontId="1" fillId="0" borderId="21" xfId="0" applyFont="1" applyFill="1" applyBorder="1" applyAlignment="1">
      <alignment horizontal="left"/>
    </xf>
    <xf numFmtId="0" fontId="5" fillId="0" borderId="6" xfId="0" applyFont="1" applyBorder="1"/>
    <xf numFmtId="0" fontId="5" fillId="0" borderId="6" xfId="0" applyFont="1" applyFill="1" applyBorder="1"/>
    <xf numFmtId="49" fontId="5" fillId="0" borderId="6" xfId="0" applyNumberFormat="1" applyFont="1" applyFill="1" applyBorder="1" applyAlignment="1">
      <alignment vertical="center"/>
    </xf>
    <xf numFmtId="0" fontId="5" fillId="0" borderId="31" xfId="0" applyFont="1" applyFill="1" applyBorder="1"/>
    <xf numFmtId="0" fontId="5" fillId="0" borderId="36" xfId="0" applyFont="1" applyFill="1" applyBorder="1"/>
    <xf numFmtId="0" fontId="5" fillId="0" borderId="36" xfId="0" applyFont="1" applyBorder="1"/>
    <xf numFmtId="0" fontId="5" fillId="0" borderId="28" xfId="0" applyFont="1" applyFill="1" applyBorder="1"/>
    <xf numFmtId="176" fontId="0" fillId="0" borderId="9" xfId="0" applyNumberFormat="1" applyFill="1" applyBorder="1" applyAlignment="1">
      <alignment horizontal="left"/>
    </xf>
    <xf numFmtId="0" fontId="0" fillId="0" borderId="0" xfId="0" applyNumberFormat="1" applyFill="1" applyBorder="1" applyAlignment="1" applyProtection="1">
      <alignment horizontal="center"/>
    </xf>
    <xf numFmtId="0" fontId="0" fillId="0" borderId="8" xfId="0" applyBorder="1" applyAlignment="1">
      <alignment horizontal="left"/>
    </xf>
    <xf numFmtId="176" fontId="5" fillId="0" borderId="31" xfId="0" applyNumberFormat="1" applyFont="1" applyBorder="1" applyAlignment="1">
      <alignment horizontal="center" vertical="center"/>
    </xf>
    <xf numFmtId="0" fontId="0" fillId="0" borderId="9" xfId="0" applyNumberFormat="1" applyFill="1" applyBorder="1" applyAlignment="1">
      <alignment horizontal="left"/>
    </xf>
    <xf numFmtId="172" fontId="5" fillId="0" borderId="6" xfId="0" applyNumberFormat="1" applyFont="1" applyFill="1" applyBorder="1" applyAlignment="1">
      <alignment horizontal="left"/>
    </xf>
    <xf numFmtId="176" fontId="0" fillId="0" borderId="9" xfId="0" applyNumberFormat="1" applyBorder="1" applyAlignment="1">
      <alignment horizontal="left"/>
    </xf>
    <xf numFmtId="0" fontId="5" fillId="0" borderId="6" xfId="0" applyFont="1" applyBorder="1" applyAlignment="1">
      <alignment horizontal="left"/>
    </xf>
    <xf numFmtId="0" fontId="0" fillId="0" borderId="31" xfId="0" applyFill="1" applyBorder="1"/>
    <xf numFmtId="168" fontId="0" fillId="0" borderId="0" xfId="0" applyNumberFormat="1" applyFont="1" applyFill="1" applyBorder="1"/>
    <xf numFmtId="168" fontId="0" fillId="0" borderId="4" xfId="0" applyNumberFormat="1" applyFill="1" applyBorder="1"/>
    <xf numFmtId="0" fontId="1" fillId="0" borderId="35" xfId="0" applyFont="1" applyFill="1" applyBorder="1"/>
    <xf numFmtId="0" fontId="5" fillId="0" borderId="37" xfId="0" applyFont="1" applyBorder="1"/>
    <xf numFmtId="1" fontId="0" fillId="0" borderId="23" xfId="0" applyNumberFormat="1" applyBorder="1"/>
    <xf numFmtId="1" fontId="5" fillId="0" borderId="6" xfId="0" applyNumberFormat="1" applyFont="1" applyBorder="1"/>
    <xf numFmtId="0" fontId="0" fillId="0" borderId="21" xfId="0" applyFont="1" applyFill="1" applyBorder="1" applyAlignment="1">
      <alignment horizontal="center" vertical="center"/>
    </xf>
    <xf numFmtId="174" fontId="60" fillId="0" borderId="6" xfId="0" applyNumberFormat="1" applyFont="1" applyBorder="1" applyAlignment="1">
      <alignment horizontal="center" vertical="center"/>
    </xf>
    <xf numFmtId="14" fontId="0" fillId="0" borderId="0" xfId="0" applyNumberFormat="1" applyBorder="1"/>
    <xf numFmtId="0" fontId="5" fillId="0" borderId="6" xfId="0" applyFont="1" applyFill="1" applyBorder="1" applyAlignment="1">
      <alignment horizontal="center"/>
    </xf>
    <xf numFmtId="182" fontId="5" fillId="0" borderId="21" xfId="0" applyNumberFormat="1" applyFont="1" applyBorder="1" applyAlignment="1">
      <alignment horizontal="center"/>
    </xf>
    <xf numFmtId="168" fontId="5" fillId="0" borderId="6" xfId="0" applyNumberFormat="1" applyFont="1" applyFill="1" applyBorder="1" applyAlignment="1">
      <alignment horizontal="center"/>
    </xf>
    <xf numFmtId="1" fontId="5" fillId="0" borderId="6" xfId="0" applyNumberFormat="1" applyFont="1" applyFill="1" applyBorder="1"/>
    <xf numFmtId="0" fontId="5" fillId="0" borderId="6" xfId="0" applyFont="1" applyFill="1" applyBorder="1" applyAlignment="1">
      <alignment wrapText="1"/>
    </xf>
    <xf numFmtId="0" fontId="5" fillId="0" borderId="21" xfId="0" applyFont="1" applyFill="1" applyBorder="1" applyAlignment="1">
      <alignment wrapText="1"/>
    </xf>
    <xf numFmtId="0" fontId="2" fillId="23" borderId="0" xfId="0" applyFont="1" applyFill="1" applyBorder="1" applyAlignment="1">
      <alignment horizontal="center" vertical="center"/>
    </xf>
    <xf numFmtId="0" fontId="0" fillId="0" borderId="0" xfId="0" applyAlignment="1">
      <alignment horizontal="left" indent="1"/>
    </xf>
    <xf numFmtId="0" fontId="0" fillId="0" borderId="21" xfId="0" applyFont="1" applyBorder="1"/>
    <xf numFmtId="168" fontId="0" fillId="0" borderId="1" xfId="0" applyNumberFormat="1" applyFont="1" applyBorder="1" applyAlignment="1">
      <alignment horizontal="right"/>
    </xf>
    <xf numFmtId="0" fontId="0" fillId="0" borderId="22" xfId="0" applyFont="1" applyFill="1" applyBorder="1"/>
    <xf numFmtId="0" fontId="0" fillId="0" borderId="2" xfId="0" applyFont="1" applyFill="1" applyBorder="1"/>
    <xf numFmtId="0" fontId="0" fillId="0" borderId="29" xfId="0" applyFont="1" applyFill="1" applyBorder="1"/>
    <xf numFmtId="0" fontId="0" fillId="0" borderId="2" xfId="0" applyFill="1" applyBorder="1"/>
    <xf numFmtId="0" fontId="0" fillId="0" borderId="22" xfId="0" applyFill="1" applyBorder="1"/>
    <xf numFmtId="0" fontId="0" fillId="0" borderId="24" xfId="0" applyFill="1" applyBorder="1"/>
    <xf numFmtId="0" fontId="0" fillId="0" borderId="2" xfId="0" applyFont="1" applyFill="1" applyBorder="1" applyAlignment="1">
      <alignment wrapText="1"/>
    </xf>
    <xf numFmtId="0" fontId="0" fillId="0" borderId="22" xfId="0" applyFill="1" applyBorder="1" applyAlignment="1">
      <alignment wrapText="1"/>
    </xf>
    <xf numFmtId="0" fontId="0" fillId="0" borderId="0" xfId="0" applyFill="1" applyBorder="1" applyAlignment="1">
      <alignment wrapText="1"/>
    </xf>
    <xf numFmtId="0" fontId="0" fillId="0" borderId="38" xfId="0" applyFill="1" applyBorder="1"/>
    <xf numFmtId="1" fontId="0" fillId="0" borderId="21" xfId="0" applyNumberFormat="1" applyBorder="1"/>
    <xf numFmtId="0" fontId="0" fillId="0" borderId="21" xfId="0" quotePrefix="1" applyFont="1" applyFill="1" applyBorder="1"/>
    <xf numFmtId="0" fontId="5" fillId="0" borderId="21" xfId="0" applyFont="1" applyFill="1" applyBorder="1"/>
    <xf numFmtId="0" fontId="5" fillId="0" borderId="8" xfId="0" applyFont="1" applyBorder="1" applyAlignment="1">
      <alignment vertical="center"/>
    </xf>
    <xf numFmtId="176" fontId="5" fillId="0" borderId="8" xfId="0" applyNumberFormat="1" applyFont="1" applyBorder="1" applyAlignment="1">
      <alignment horizontal="left" vertical="center"/>
    </xf>
    <xf numFmtId="0" fontId="0" fillId="0" borderId="31" xfId="0" applyBorder="1" applyAlignment="1">
      <alignment horizontal="left"/>
    </xf>
    <xf numFmtId="0" fontId="0" fillId="0" borderId="8" xfId="0" applyFont="1" applyFill="1" applyBorder="1" applyAlignment="1">
      <alignment horizontal="left" vertical="center"/>
    </xf>
    <xf numFmtId="0" fontId="0" fillId="0" borderId="8" xfId="0" applyFont="1" applyBorder="1" applyAlignment="1">
      <alignment horizontal="left" vertical="center"/>
    </xf>
    <xf numFmtId="168" fontId="0" fillId="0" borderId="21" xfId="0" applyNumberFormat="1" applyBorder="1" applyAlignment="1">
      <alignment horizontal="right"/>
    </xf>
    <xf numFmtId="0" fontId="0" fillId="0" borderId="21" xfId="0" applyBorder="1" applyAlignment="1">
      <alignment horizontal="center"/>
    </xf>
    <xf numFmtId="0" fontId="0" fillId="0" borderId="8" xfId="0" applyFont="1" applyFill="1" applyBorder="1" applyAlignment="1">
      <alignment horizontal="center" vertical="center"/>
    </xf>
    <xf numFmtId="168" fontId="0" fillId="0" borderId="6" xfId="0" applyNumberFormat="1" applyBorder="1"/>
    <xf numFmtId="168" fontId="0" fillId="0" borderId="6" xfId="0" applyNumberFormat="1" applyBorder="1" applyAlignment="1">
      <alignment horizontal="center"/>
    </xf>
    <xf numFmtId="0" fontId="0" fillId="0" borderId="6" xfId="0" applyBorder="1" applyAlignment="1">
      <alignment wrapText="1"/>
    </xf>
    <xf numFmtId="168" fontId="0" fillId="0" borderId="36" xfId="0" applyNumberFormat="1" applyFont="1" applyBorder="1" applyAlignment="1">
      <alignment horizontal="right"/>
    </xf>
    <xf numFmtId="0" fontId="0" fillId="0" borderId="36" xfId="0" applyFont="1" applyFill="1" applyBorder="1"/>
    <xf numFmtId="0" fontId="0" fillId="0" borderId="6" xfId="0" applyBorder="1" applyAlignment="1">
      <alignment horizontal="left"/>
    </xf>
    <xf numFmtId="0" fontId="0" fillId="0" borderId="36" xfId="0" applyFont="1" applyBorder="1" applyAlignment="1">
      <alignment horizontal="left" vertical="center"/>
    </xf>
    <xf numFmtId="0" fontId="0" fillId="0" borderId="6" xfId="0" applyFont="1" applyBorder="1" applyAlignment="1">
      <alignment horizontal="left" vertical="center"/>
    </xf>
    <xf numFmtId="168" fontId="0" fillId="0" borderId="36" xfId="0" applyNumberFormat="1" applyFont="1" applyFill="1" applyBorder="1"/>
    <xf numFmtId="0" fontId="0" fillId="0" borderId="37" xfId="0" applyBorder="1"/>
    <xf numFmtId="0" fontId="0" fillId="0" borderId="21" xfId="0" applyNumberFormat="1" applyFont="1" applyBorder="1" applyAlignment="1">
      <alignment horizontal="center"/>
    </xf>
    <xf numFmtId="0" fontId="0" fillId="0" borderId="21" xfId="0" applyNumberFormat="1" applyFill="1" applyBorder="1" applyAlignment="1" applyProtection="1">
      <alignment horizontal="center"/>
    </xf>
    <xf numFmtId="0" fontId="0" fillId="0" borderId="6" xfId="0" applyNumberFormat="1" applyFill="1" applyBorder="1" applyAlignment="1" applyProtection="1"/>
    <xf numFmtId="0" fontId="0" fillId="0" borderId="6" xfId="0" applyNumberFormat="1" applyFill="1" applyBorder="1" applyAlignment="1" applyProtection="1">
      <alignment horizontal="center"/>
    </xf>
    <xf numFmtId="182" fontId="0" fillId="0" borderId="6" xfId="0" applyNumberFormat="1" applyBorder="1" applyAlignment="1">
      <alignment horizontal="center"/>
    </xf>
    <xf numFmtId="0" fontId="0" fillId="0" borderId="21" xfId="0" quotePrefix="1" applyFill="1" applyBorder="1"/>
    <xf numFmtId="0" fontId="0" fillId="0" borderId="21" xfId="0" applyFill="1" applyBorder="1" applyAlignment="1">
      <alignment horizontal="left"/>
    </xf>
    <xf numFmtId="176" fontId="0" fillId="0" borderId="21" xfId="0" applyNumberFormat="1" applyFill="1" applyBorder="1"/>
    <xf numFmtId="0" fontId="5" fillId="0" borderId="1" xfId="0" quotePrefix="1" applyFont="1" applyBorder="1"/>
    <xf numFmtId="49" fontId="5" fillId="0" borderId="1" xfId="0" applyNumberFormat="1" applyFont="1" applyFill="1" applyBorder="1" applyAlignment="1">
      <alignment vertical="center"/>
    </xf>
    <xf numFmtId="172" fontId="0" fillId="0" borderId="1" xfId="0" applyNumberFormat="1" applyFill="1" applyBorder="1" applyAlignment="1">
      <alignment horizontal="left"/>
    </xf>
    <xf numFmtId="0" fontId="5" fillId="0" borderId="1" xfId="0" applyFont="1" applyFill="1" applyBorder="1" applyAlignment="1"/>
    <xf numFmtId="0" fontId="20" fillId="0" borderId="1" xfId="0" applyFont="1" applyBorder="1" applyAlignment="1">
      <alignment horizontal="center" vertical="center"/>
    </xf>
    <xf numFmtId="0" fontId="3" fillId="0" borderId="1" xfId="0" applyFont="1" applyBorder="1" applyAlignment="1">
      <alignment vertical="center"/>
    </xf>
    <xf numFmtId="0" fontId="3" fillId="0" borderId="1" xfId="0" applyNumberFormat="1" applyFont="1" applyBorder="1" applyAlignment="1"/>
    <xf numFmtId="172" fontId="0" fillId="0" borderId="1" xfId="0" applyNumberFormat="1" applyFont="1" applyBorder="1"/>
    <xf numFmtId="0" fontId="66" fillId="46" borderId="1" xfId="0" applyFont="1" applyFill="1" applyBorder="1" applyAlignment="1">
      <alignment horizontal="center" vertical="center" wrapText="1"/>
    </xf>
    <xf numFmtId="166" fontId="66" fillId="46" borderId="1" xfId="1" applyNumberFormat="1" applyFont="1" applyFill="1" applyBorder="1" applyAlignment="1">
      <alignment horizontal="center" vertical="center" wrapText="1"/>
    </xf>
    <xf numFmtId="0" fontId="3" fillId="46" borderId="1" xfId="0" applyFont="1" applyFill="1" applyBorder="1" applyAlignment="1">
      <alignment horizontal="center" vertical="center"/>
    </xf>
    <xf numFmtId="0" fontId="49" fillId="0" borderId="1" xfId="0" applyFont="1" applyFill="1" applyBorder="1" applyAlignment="1">
      <alignment horizontal="center" vertical="center"/>
    </xf>
    <xf numFmtId="173" fontId="49" fillId="0" borderId="1" xfId="0" applyNumberFormat="1" applyFont="1" applyFill="1" applyBorder="1" applyAlignment="1">
      <alignment horizontal="center" vertical="center"/>
    </xf>
    <xf numFmtId="174" fontId="49" fillId="0" borderId="1" xfId="0" applyNumberFormat="1" applyFont="1" applyFill="1" applyBorder="1" applyAlignment="1">
      <alignment horizontal="center" vertical="center"/>
    </xf>
    <xf numFmtId="0" fontId="68" fillId="0" borderId="1" xfId="0" applyFont="1" applyFill="1" applyBorder="1" applyAlignment="1">
      <alignment horizontal="center" vertical="center"/>
    </xf>
    <xf numFmtId="0" fontId="67" fillId="0" borderId="1" xfId="0" applyFont="1" applyFill="1" applyBorder="1" applyAlignment="1">
      <alignment horizontal="center" vertical="center"/>
    </xf>
    <xf numFmtId="0" fontId="69" fillId="0" borderId="1" xfId="0" applyFont="1" applyFill="1" applyBorder="1" applyAlignment="1">
      <alignment horizontal="center" vertical="center"/>
    </xf>
    <xf numFmtId="0" fontId="67" fillId="0" borderId="1" xfId="0" applyFont="1" applyFill="1" applyBorder="1" applyAlignment="1">
      <alignment horizontal="center" vertical="center" wrapText="1"/>
    </xf>
    <xf numFmtId="0" fontId="67" fillId="0" borderId="1" xfId="0" applyFont="1" applyBorder="1" applyAlignment="1">
      <alignment horizontal="center" vertical="center"/>
    </xf>
    <xf numFmtId="0" fontId="70" fillId="0" borderId="1" xfId="0" applyFont="1" applyBorder="1" applyAlignment="1">
      <alignment horizontal="center" vertical="center"/>
    </xf>
    <xf numFmtId="0" fontId="67" fillId="0" borderId="1" xfId="46" applyFont="1" applyBorder="1" applyAlignment="1">
      <alignment horizontal="center" vertical="center"/>
    </xf>
    <xf numFmtId="0" fontId="71" fillId="0" borderId="1" xfId="0" applyFont="1" applyFill="1" applyBorder="1" applyAlignment="1">
      <alignment horizontal="center" vertical="center" wrapText="1"/>
    </xf>
    <xf numFmtId="0" fontId="70" fillId="0" borderId="1" xfId="0" applyFont="1" applyFill="1" applyBorder="1" applyAlignment="1">
      <alignment horizontal="center" vertical="center" wrapText="1"/>
    </xf>
    <xf numFmtId="0" fontId="67" fillId="0" borderId="1" xfId="0" applyFont="1" applyBorder="1" applyAlignment="1">
      <alignment horizontal="center"/>
    </xf>
    <xf numFmtId="0" fontId="67" fillId="0" borderId="1" xfId="0" applyFont="1" applyBorder="1"/>
    <xf numFmtId="0" fontId="67" fillId="0" borderId="1" xfId="47" applyFont="1" applyFill="1" applyBorder="1" applyAlignment="1">
      <alignment horizontal="center" vertical="center"/>
    </xf>
    <xf numFmtId="0" fontId="70" fillId="0" borderId="1" xfId="0" applyFont="1" applyFill="1" applyBorder="1" applyAlignment="1">
      <alignment horizontal="center" vertical="center"/>
    </xf>
    <xf numFmtId="0" fontId="5" fillId="0" borderId="1" xfId="0" applyFont="1" applyFill="1" applyBorder="1" applyAlignment="1">
      <alignment horizontal="center" vertical="center"/>
    </xf>
    <xf numFmtId="0" fontId="20" fillId="0" borderId="1" xfId="0" applyFont="1" applyBorder="1" applyAlignment="1">
      <alignment horizontal="center" vertical="center"/>
    </xf>
    <xf numFmtId="0" fontId="3" fillId="0" borderId="1" xfId="0" applyFont="1" applyBorder="1" applyAlignment="1">
      <alignment horizontal="center" vertical="center"/>
    </xf>
    <xf numFmtId="0" fontId="3" fillId="0" borderId="1" xfId="0" quotePrefix="1" applyFont="1" applyBorder="1" applyAlignment="1">
      <alignment horizontal="center" vertical="center"/>
    </xf>
    <xf numFmtId="0" fontId="67" fillId="0" borderId="1" xfId="0" applyFont="1" applyBorder="1" applyAlignment="1">
      <alignment horizontal="left"/>
    </xf>
    <xf numFmtId="0" fontId="70" fillId="0" borderId="1" xfId="0" applyFont="1" applyFill="1" applyBorder="1" applyAlignment="1">
      <alignment horizontal="left" vertical="center"/>
    </xf>
    <xf numFmtId="0" fontId="72" fillId="0" borderId="1" xfId="0" applyFont="1" applyBorder="1" applyAlignment="1">
      <alignment horizontal="center" vertical="center"/>
    </xf>
    <xf numFmtId="0" fontId="67" fillId="0" borderId="1" xfId="0" applyFont="1" applyFill="1" applyBorder="1" applyAlignment="1">
      <alignment horizontal="center" vertical="center"/>
    </xf>
    <xf numFmtId="0" fontId="67" fillId="0" borderId="1" xfId="0" applyFont="1" applyBorder="1" applyAlignment="1">
      <alignment horizontal="center" vertical="center"/>
    </xf>
    <xf numFmtId="0" fontId="0" fillId="0" borderId="1" xfId="0" applyBorder="1" applyAlignment="1">
      <alignment horizontal="center" vertical="center"/>
    </xf>
    <xf numFmtId="0" fontId="0" fillId="0" borderId="1" xfId="0" applyBorder="1" applyAlignment="1">
      <alignment horizontal="center" vertical="center"/>
    </xf>
    <xf numFmtId="0" fontId="0" fillId="0" borderId="1" xfId="0" applyFont="1" applyFill="1" applyBorder="1" applyAlignment="1">
      <alignment horizontal="center" vertical="center"/>
    </xf>
    <xf numFmtId="0" fontId="0" fillId="0" borderId="1" xfId="0" applyFont="1" applyBorder="1" applyAlignment="1">
      <alignment horizontal="center" vertical="center"/>
    </xf>
    <xf numFmtId="0" fontId="0" fillId="0" borderId="6" xfId="0" applyFont="1" applyBorder="1" applyAlignment="1">
      <alignment wrapText="1"/>
    </xf>
    <xf numFmtId="168" fontId="0" fillId="0" borderId="0" xfId="0" applyNumberFormat="1"/>
    <xf numFmtId="168" fontId="0" fillId="8" borderId="6" xfId="0" applyNumberFormat="1" applyFont="1" applyFill="1" applyBorder="1" applyAlignment="1">
      <alignment horizontal="center" vertical="center" wrapText="1"/>
    </xf>
    <xf numFmtId="168" fontId="0" fillId="0" borderId="8" xfId="0" applyNumberFormat="1" applyFill="1" applyBorder="1" applyAlignment="1" applyProtection="1"/>
    <xf numFmtId="168" fontId="0" fillId="0" borderId="1" xfId="0" applyNumberFormat="1" applyFill="1" applyBorder="1" applyAlignment="1" applyProtection="1"/>
    <xf numFmtId="168" fontId="0" fillId="0" borderId="21" xfId="0" applyNumberFormat="1" applyFill="1" applyBorder="1" applyAlignment="1" applyProtection="1"/>
    <xf numFmtId="168" fontId="0" fillId="0" borderId="6" xfId="0" applyNumberFormat="1" applyFill="1" applyBorder="1" applyAlignment="1" applyProtection="1"/>
    <xf numFmtId="168" fontId="0" fillId="0" borderId="21" xfId="0" applyNumberFormat="1" applyBorder="1"/>
    <xf numFmtId="0" fontId="0" fillId="0" borderId="35" xfId="0" applyFill="1" applyBorder="1"/>
    <xf numFmtId="0" fontId="4" fillId="0" borderId="6" xfId="0" applyFont="1" applyFill="1" applyBorder="1"/>
    <xf numFmtId="0" fontId="0" fillId="0" borderId="35" xfId="0" applyFont="1" applyFill="1" applyBorder="1"/>
    <xf numFmtId="0" fontId="0" fillId="0" borderId="38" xfId="0" applyFont="1" applyFill="1" applyBorder="1" applyAlignment="1">
      <alignment wrapText="1"/>
    </xf>
    <xf numFmtId="0" fontId="0" fillId="0" borderId="21" xfId="0" quotePrefix="1" applyNumberFormat="1" applyFill="1" applyBorder="1" applyAlignment="1" applyProtection="1"/>
    <xf numFmtId="0" fontId="0" fillId="0" borderId="38" xfId="0" applyFill="1" applyBorder="1" applyAlignment="1">
      <alignment wrapText="1"/>
    </xf>
    <xf numFmtId="0" fontId="0" fillId="0" borderId="1" xfId="0" applyNumberFormat="1" applyFont="1" applyFill="1" applyBorder="1"/>
    <xf numFmtId="0" fontId="11" fillId="0" borderId="1" xfId="0" applyFont="1" applyFill="1" applyBorder="1" applyAlignment="1">
      <alignment horizontal="left"/>
    </xf>
    <xf numFmtId="0" fontId="11" fillId="0" borderId="1" xfId="0" applyFont="1" applyFill="1" applyBorder="1" applyAlignment="1">
      <alignment horizontal="left" vertical="center"/>
    </xf>
    <xf numFmtId="0" fontId="11" fillId="0" borderId="1" xfId="0" applyFont="1" applyBorder="1" applyAlignment="1">
      <alignment horizontal="left" vertical="center"/>
    </xf>
    <xf numFmtId="0" fontId="11" fillId="0" borderId="1" xfId="0" applyFont="1" applyBorder="1" applyAlignment="1">
      <alignment horizontal="center" vertical="center"/>
    </xf>
    <xf numFmtId="0" fontId="0" fillId="0" borderId="1" xfId="0" applyFont="1" applyFill="1" applyBorder="1" applyAlignment="1">
      <alignment vertical="center" wrapText="1"/>
    </xf>
    <xf numFmtId="0" fontId="73" fillId="17" borderId="18" xfId="0" applyFont="1" applyFill="1" applyBorder="1" applyAlignment="1">
      <alignment horizontal="center" vertical="center" wrapText="1"/>
    </xf>
    <xf numFmtId="0" fontId="73" fillId="17" borderId="19" xfId="0" applyFont="1" applyFill="1" applyBorder="1" applyAlignment="1">
      <alignment horizontal="center" vertical="center" wrapText="1"/>
    </xf>
    <xf numFmtId="0" fontId="73" fillId="18" borderId="39" xfId="0" applyFont="1" applyFill="1" applyBorder="1" applyAlignment="1">
      <alignment horizontal="center" vertical="center" wrapText="1"/>
    </xf>
    <xf numFmtId="0" fontId="73" fillId="17" borderId="20" xfId="0" applyFont="1" applyFill="1" applyBorder="1" applyAlignment="1">
      <alignment horizontal="center" vertical="center" wrapText="1"/>
    </xf>
    <xf numFmtId="0" fontId="72" fillId="0" borderId="6" xfId="0" applyFont="1" applyBorder="1" applyAlignment="1">
      <alignment horizontal="center" vertical="center"/>
    </xf>
    <xf numFmtId="0" fontId="72" fillId="0" borderId="6" xfId="0" applyFont="1" applyFill="1" applyBorder="1" applyAlignment="1">
      <alignment horizontal="center" vertical="center"/>
    </xf>
    <xf numFmtId="0" fontId="72" fillId="0" borderId="8" xfId="0" applyFont="1" applyBorder="1" applyAlignment="1">
      <alignment horizontal="center" vertical="center"/>
    </xf>
    <xf numFmtId="0" fontId="72" fillId="0" borderId="1" xfId="0" applyFont="1" applyFill="1" applyBorder="1" applyAlignment="1">
      <alignment horizontal="center" vertical="center"/>
    </xf>
    <xf numFmtId="0" fontId="72" fillId="0" borderId="8" xfId="0" applyFont="1" applyFill="1" applyBorder="1" applyAlignment="1">
      <alignment horizontal="center" vertical="center"/>
    </xf>
    <xf numFmtId="0" fontId="72" fillId="0" borderId="6" xfId="0" applyFont="1" applyBorder="1" applyAlignment="1">
      <alignment horizontal="center"/>
    </xf>
    <xf numFmtId="0" fontId="72" fillId="0" borderId="0" xfId="0" applyFont="1" applyAlignment="1">
      <alignment horizontal="center"/>
    </xf>
    <xf numFmtId="0" fontId="72" fillId="0" borderId="1" xfId="0" applyFont="1" applyBorder="1" applyAlignment="1">
      <alignment horizontal="center"/>
    </xf>
    <xf numFmtId="0" fontId="72" fillId="0" borderId="8" xfId="0" applyFont="1" applyBorder="1" applyAlignment="1">
      <alignment horizontal="center"/>
    </xf>
    <xf numFmtId="0" fontId="72" fillId="0" borderId="21" xfId="0" applyFont="1" applyBorder="1" applyAlignment="1">
      <alignment horizontal="center"/>
    </xf>
    <xf numFmtId="0" fontId="72" fillId="0" borderId="1" xfId="0" applyFont="1" applyFill="1" applyBorder="1" applyAlignment="1">
      <alignment horizontal="center"/>
    </xf>
    <xf numFmtId="0" fontId="72" fillId="0" borderId="8" xfId="0" applyFont="1" applyFill="1" applyBorder="1" applyAlignment="1">
      <alignment horizontal="center"/>
    </xf>
    <xf numFmtId="0" fontId="72" fillId="0" borderId="1" xfId="0" applyFont="1" applyFill="1" applyBorder="1" applyAlignment="1">
      <alignment horizontal="center" vertical="center" wrapText="1"/>
    </xf>
    <xf numFmtId="0" fontId="3" fillId="0" borderId="1" xfId="0" applyFont="1" applyBorder="1"/>
    <xf numFmtId="0" fontId="5" fillId="0" borderId="1" xfId="47" applyFont="1" applyFill="1" applyBorder="1" applyAlignment="1">
      <alignment horizontal="center" vertical="center"/>
    </xf>
    <xf numFmtId="0" fontId="67" fillId="0" borderId="1" xfId="0" applyFont="1" applyFill="1" applyBorder="1" applyAlignment="1">
      <alignment horizontal="center" vertical="center"/>
    </xf>
    <xf numFmtId="0" fontId="67" fillId="0" borderId="1" xfId="0" applyFont="1" applyBorder="1" applyAlignment="1">
      <alignment horizontal="center" vertical="center"/>
    </xf>
    <xf numFmtId="168" fontId="0" fillId="0" borderId="28" xfId="0" applyNumberFormat="1" applyFill="1" applyBorder="1" applyAlignment="1">
      <alignment horizontal="center"/>
    </xf>
    <xf numFmtId="168" fontId="0" fillId="0" borderId="34" xfId="0" applyNumberFormat="1" applyFill="1" applyBorder="1" applyAlignment="1">
      <alignment horizontal="center"/>
    </xf>
    <xf numFmtId="168" fontId="4" fillId="0" borderId="1" xfId="0" applyNumberFormat="1" applyFont="1" applyFill="1" applyBorder="1" applyAlignment="1">
      <alignment horizontal="center"/>
    </xf>
    <xf numFmtId="0" fontId="5" fillId="7" borderId="1" xfId="0" applyNumberFormat="1" applyFont="1" applyFill="1" applyBorder="1" applyAlignment="1"/>
    <xf numFmtId="0" fontId="5" fillId="0" borderId="1" xfId="0" applyFont="1" applyBorder="1" applyAlignment="1"/>
    <xf numFmtId="0" fontId="5" fillId="0" borderId="1" xfId="47" applyNumberFormat="1" applyFont="1" applyBorder="1" applyAlignment="1">
      <alignment horizontal="center" vertical="center"/>
    </xf>
    <xf numFmtId="0" fontId="67" fillId="0" borderId="1" xfId="0" applyFont="1" applyFill="1" applyBorder="1" applyAlignment="1">
      <alignment horizontal="left" vertical="center"/>
    </xf>
    <xf numFmtId="0" fontId="67" fillId="0" borderId="1" xfId="0" applyFont="1" applyFill="1" applyBorder="1" applyAlignment="1">
      <alignment horizontal="center" vertical="center"/>
    </xf>
    <xf numFmtId="0" fontId="67" fillId="0" borderId="1" xfId="0" applyFont="1" applyBorder="1" applyAlignment="1">
      <alignment horizontal="center" vertical="center"/>
    </xf>
    <xf numFmtId="0" fontId="5" fillId="19" borderId="1" xfId="0" applyFont="1" applyFill="1" applyBorder="1" applyAlignment="1"/>
    <xf numFmtId="0" fontId="67" fillId="0" borderId="1" xfId="0" applyFont="1" applyBorder="1" applyAlignment="1">
      <alignment horizontal="center" vertical="center"/>
    </xf>
    <xf numFmtId="3" fontId="48" fillId="0" borderId="1" xfId="3" applyNumberFormat="1" applyFont="1" applyBorder="1" applyAlignment="1">
      <alignment horizontal="left"/>
    </xf>
    <xf numFmtId="3" fontId="48" fillId="19" borderId="1" xfId="3" applyNumberFormat="1" applyFont="1" applyFill="1" applyBorder="1" applyAlignment="1">
      <alignment horizontal="left"/>
    </xf>
    <xf numFmtId="3" fontId="48" fillId="0" borderId="1" xfId="3" applyNumberFormat="1" applyFont="1" applyBorder="1"/>
    <xf numFmtId="3" fontId="48" fillId="19" borderId="1" xfId="3" applyNumberFormat="1" applyFont="1" applyFill="1" applyBorder="1"/>
    <xf numFmtId="3" fontId="48" fillId="4" borderId="1" xfId="3" applyNumberFormat="1" applyFont="1" applyFill="1" applyBorder="1"/>
    <xf numFmtId="1" fontId="0" fillId="0" borderId="0" xfId="0" applyNumberFormat="1" applyBorder="1"/>
    <xf numFmtId="0" fontId="5" fillId="0" borderId="1" xfId="0" applyNumberFormat="1" applyFont="1" applyBorder="1" applyAlignment="1"/>
    <xf numFmtId="0" fontId="50" fillId="0" borderId="14" xfId="0" applyFont="1" applyBorder="1" applyAlignment="1">
      <alignment horizontal="center" vertical="center"/>
    </xf>
    <xf numFmtId="0" fontId="74" fillId="19" borderId="14" xfId="0" applyFont="1" applyFill="1" applyBorder="1" applyAlignment="1">
      <alignment horizontal="center" vertical="center"/>
    </xf>
    <xf numFmtId="0" fontId="0" fillId="0" borderId="1" xfId="0" applyNumberFormat="1" applyFont="1" applyBorder="1" applyAlignment="1">
      <alignment horizontal="center"/>
    </xf>
    <xf numFmtId="0" fontId="55" fillId="8" borderId="1" xfId="0" applyFont="1" applyFill="1" applyBorder="1" applyAlignment="1">
      <alignment horizontal="center" vertical="center" wrapText="1"/>
    </xf>
    <xf numFmtId="168" fontId="55" fillId="8" borderId="1" xfId="0" applyNumberFormat="1" applyFont="1" applyFill="1" applyBorder="1" applyAlignment="1">
      <alignment horizontal="center" vertical="center" wrapText="1"/>
    </xf>
    <xf numFmtId="0" fontId="48" fillId="47" borderId="1" xfId="3" applyFont="1" applyFill="1" applyBorder="1" applyAlignment="1">
      <alignment horizontal="left"/>
    </xf>
    <xf numFmtId="0" fontId="5" fillId="0" borderId="1" xfId="0" applyFont="1" applyBorder="1" applyAlignment="1">
      <alignment horizontal="center"/>
    </xf>
    <xf numFmtId="0" fontId="67" fillId="0" borderId="1" xfId="0" applyFont="1" applyBorder="1" applyAlignment="1">
      <alignment horizontal="center" vertical="center"/>
    </xf>
    <xf numFmtId="0" fontId="67" fillId="0" borderId="3" xfId="0" applyFont="1" applyBorder="1" applyAlignment="1">
      <alignment horizontal="center" vertical="center" wrapText="1"/>
    </xf>
    <xf numFmtId="0" fontId="67" fillId="0" borderId="1" xfId="0" applyFont="1" applyFill="1" applyBorder="1" applyAlignment="1">
      <alignment horizontal="center" vertical="center"/>
    </xf>
    <xf numFmtId="0" fontId="75" fillId="39" borderId="1" xfId="0" applyFont="1" applyFill="1" applyBorder="1" applyAlignment="1">
      <alignment vertical="center"/>
    </xf>
    <xf numFmtId="0" fontId="75" fillId="39" borderId="1" xfId="0" applyFont="1" applyFill="1" applyBorder="1" applyAlignment="1">
      <alignment horizontal="center" vertical="center"/>
    </xf>
    <xf numFmtId="0" fontId="75" fillId="39" borderId="1" xfId="0" applyFont="1" applyFill="1" applyBorder="1" applyAlignment="1">
      <alignment vertical="center" wrapText="1"/>
    </xf>
    <xf numFmtId="0" fontId="75" fillId="48" borderId="1" xfId="0" applyFont="1" applyFill="1" applyBorder="1" applyAlignment="1">
      <alignment vertical="center"/>
    </xf>
    <xf numFmtId="0" fontId="75" fillId="48" borderId="1" xfId="0" applyFont="1" applyFill="1" applyBorder="1" applyAlignment="1">
      <alignment horizontal="center" vertical="center" wrapText="1"/>
    </xf>
    <xf numFmtId="0" fontId="15" fillId="14" borderId="1" xfId="0" applyFont="1" applyFill="1" applyBorder="1" applyAlignment="1">
      <alignment horizontal="center" vertical="center" wrapText="1"/>
    </xf>
    <xf numFmtId="0" fontId="15" fillId="0" borderId="1" xfId="0" applyFont="1" applyFill="1" applyBorder="1" applyAlignment="1">
      <alignment vertical="center"/>
    </xf>
    <xf numFmtId="0" fontId="3" fillId="0" borderId="1" xfId="0" applyFont="1" applyFill="1" applyBorder="1" applyAlignment="1">
      <alignment vertical="center"/>
    </xf>
    <xf numFmtId="0" fontId="76" fillId="0" borderId="1" xfId="0" applyFont="1" applyFill="1" applyBorder="1" applyAlignment="1">
      <alignment vertical="center" wrapText="1"/>
    </xf>
    <xf numFmtId="0" fontId="3" fillId="0" borderId="1" xfId="0" applyFont="1" applyBorder="1" applyAlignment="1">
      <alignment horizontal="left" vertical="center"/>
    </xf>
    <xf numFmtId="0" fontId="67" fillId="0" borderId="1" xfId="0" applyFont="1" applyBorder="1" applyAlignment="1">
      <alignment vertical="center" wrapText="1"/>
    </xf>
    <xf numFmtId="0" fontId="3" fillId="0" borderId="21" xfId="0" applyFont="1" applyFill="1" applyBorder="1" applyAlignment="1">
      <alignment horizontal="left" vertical="center"/>
    </xf>
    <xf numFmtId="0" fontId="3" fillId="0" borderId="21" xfId="0" applyFont="1" applyFill="1" applyBorder="1" applyAlignment="1">
      <alignment vertical="center"/>
    </xf>
    <xf numFmtId="0" fontId="67" fillId="0" borderId="21" xfId="0" applyFont="1" applyFill="1" applyBorder="1" applyAlignment="1">
      <alignment vertical="center" wrapText="1"/>
    </xf>
    <xf numFmtId="0" fontId="20" fillId="0" borderId="0" xfId="0" applyFont="1" applyBorder="1" applyAlignment="1">
      <alignment horizontal="center" vertical="center"/>
    </xf>
    <xf numFmtId="168" fontId="0" fillId="0" borderId="1" xfId="0" quotePrefix="1" applyNumberFormat="1" applyFont="1" applyFill="1" applyBorder="1"/>
    <xf numFmtId="0" fontId="67" fillId="0" borderId="1" xfId="0" applyFont="1" applyBorder="1" applyAlignment="1">
      <alignment horizontal="center" vertical="center"/>
    </xf>
    <xf numFmtId="0" fontId="67" fillId="0" borderId="1" xfId="0" applyFont="1" applyFill="1" applyBorder="1" applyAlignment="1">
      <alignment horizontal="center" vertical="center"/>
    </xf>
    <xf numFmtId="0" fontId="67" fillId="0" borderId="1" xfId="0" applyFont="1" applyBorder="1" applyAlignment="1">
      <alignment horizontal="center" vertical="center"/>
    </xf>
    <xf numFmtId="0" fontId="67" fillId="0" borderId="1" xfId="0" applyFont="1" applyBorder="1" applyAlignment="1">
      <alignment vertical="center"/>
    </xf>
    <xf numFmtId="0" fontId="67" fillId="0" borderId="1" xfId="0" applyFont="1" applyBorder="1" applyAlignment="1">
      <alignment horizontal="center" vertical="center"/>
    </xf>
    <xf numFmtId="10" fontId="0" fillId="0" borderId="0" xfId="48" applyNumberFormat="1" applyFont="1"/>
    <xf numFmtId="10" fontId="0" fillId="49" borderId="0" xfId="48" applyNumberFormat="1" applyFont="1" applyFill="1"/>
    <xf numFmtId="10" fontId="0" fillId="50" borderId="0" xfId="48" applyNumberFormat="1" applyFont="1" applyFill="1"/>
    <xf numFmtId="9" fontId="0" fillId="50" borderId="0" xfId="0" applyNumberFormat="1" applyFill="1"/>
    <xf numFmtId="183" fontId="0" fillId="49" borderId="0" xfId="48" applyNumberFormat="1" applyFont="1" applyFill="1"/>
    <xf numFmtId="0" fontId="20" fillId="0" borderId="1" xfId="0" applyNumberFormat="1" applyFont="1" applyBorder="1" applyAlignment="1">
      <alignment horizontal="center" vertical="center"/>
    </xf>
    <xf numFmtId="0" fontId="20" fillId="0" borderId="1" xfId="0" applyFont="1" applyBorder="1" applyAlignment="1">
      <alignment horizontal="center" vertical="center"/>
    </xf>
    <xf numFmtId="1" fontId="20" fillId="0" borderId="1" xfId="0" applyNumberFormat="1" applyFont="1" applyBorder="1" applyAlignment="1">
      <alignment horizontal="center" vertical="center"/>
    </xf>
    <xf numFmtId="168" fontId="20" fillId="0" borderId="1" xfId="0" applyNumberFormat="1" applyFont="1" applyBorder="1" applyAlignment="1">
      <alignment horizontal="center" vertical="center"/>
    </xf>
    <xf numFmtId="172" fontId="20" fillId="0" borderId="1" xfId="0" applyNumberFormat="1" applyFont="1" applyBorder="1" applyAlignment="1">
      <alignment horizontal="center" vertical="center"/>
    </xf>
    <xf numFmtId="0" fontId="13" fillId="0" borderId="1" xfId="0" applyFont="1" applyBorder="1" applyAlignment="1">
      <alignment horizontal="center" vertical="center"/>
    </xf>
    <xf numFmtId="176" fontId="13" fillId="0" borderId="1" xfId="0" applyNumberFormat="1" applyFont="1" applyBorder="1" applyAlignment="1">
      <alignment horizontal="center" vertical="center"/>
    </xf>
    <xf numFmtId="0" fontId="65" fillId="0" borderId="1" xfId="0" applyFont="1" applyBorder="1" applyAlignment="1">
      <alignment horizontal="center" vertical="center"/>
    </xf>
    <xf numFmtId="0" fontId="20" fillId="0" borderId="0" xfId="0" applyFont="1" applyBorder="1" applyAlignment="1">
      <alignment horizontal="center" vertical="center"/>
    </xf>
    <xf numFmtId="0" fontId="20" fillId="0" borderId="1" xfId="0" applyFont="1" applyBorder="1" applyAlignment="1">
      <alignment horizontal="center" vertical="center"/>
    </xf>
    <xf numFmtId="0" fontId="20" fillId="0" borderId="0" xfId="0" applyFont="1" applyAlignment="1">
      <alignment horizontal="left"/>
    </xf>
    <xf numFmtId="0" fontId="20" fillId="0" borderId="0" xfId="0" applyFont="1" applyAlignment="1">
      <alignment horizontal="center" vertical="center"/>
    </xf>
    <xf numFmtId="0" fontId="23" fillId="8" borderId="4" xfId="0" applyFont="1" applyFill="1" applyBorder="1" applyAlignment="1">
      <alignment horizontal="center" vertical="center" wrapText="1"/>
    </xf>
    <xf numFmtId="0" fontId="20" fillId="0" borderId="4" xfId="0" applyFont="1" applyBorder="1" applyAlignment="1">
      <alignment horizontal="center" vertical="center"/>
    </xf>
    <xf numFmtId="0" fontId="20" fillId="0" borderId="4" xfId="0" quotePrefix="1" applyFont="1" applyBorder="1" applyAlignment="1">
      <alignment horizontal="center" vertical="center"/>
    </xf>
    <xf numFmtId="0" fontId="20" fillId="0" borderId="1" xfId="0" applyFont="1" applyBorder="1" applyAlignment="1">
      <alignment horizontal="left" vertical="center"/>
    </xf>
    <xf numFmtId="0" fontId="20" fillId="0" borderId="1" xfId="0" applyFont="1" applyBorder="1" applyAlignment="1">
      <alignment vertical="center"/>
    </xf>
    <xf numFmtId="0" fontId="20" fillId="0" borderId="0" xfId="0" applyFont="1"/>
    <xf numFmtId="0" fontId="20" fillId="0" borderId="33" xfId="0" applyFont="1" applyBorder="1"/>
    <xf numFmtId="0" fontId="3" fillId="0" borderId="1" xfId="0" applyFont="1" applyBorder="1" applyAlignment="1">
      <alignment horizontal="center" vertical="center"/>
    </xf>
    <xf numFmtId="168" fontId="20" fillId="0" borderId="1" xfId="0" quotePrefix="1" applyNumberFormat="1" applyFont="1" applyBorder="1" applyAlignment="1">
      <alignment vertical="center"/>
    </xf>
    <xf numFmtId="0" fontId="67" fillId="0" borderId="21" xfId="0" applyFont="1" applyFill="1" applyBorder="1" applyAlignment="1">
      <alignment horizontal="center" vertical="center"/>
    </xf>
    <xf numFmtId="0" fontId="0" fillId="0" borderId="6" xfId="0" applyFont="1" applyFill="1" applyBorder="1" applyAlignment="1"/>
    <xf numFmtId="0" fontId="0" fillId="0" borderId="6" xfId="0" applyFont="1" applyFill="1" applyBorder="1" applyAlignment="1">
      <alignment vertical="center"/>
    </xf>
    <xf numFmtId="172" fontId="0" fillId="0" borderId="6" xfId="0" applyNumberFormat="1" applyFill="1" applyBorder="1"/>
    <xf numFmtId="0" fontId="0" fillId="0" borderId="1" xfId="0" applyBorder="1" applyAlignment="1">
      <alignment horizontal="center" vertical="center"/>
    </xf>
    <xf numFmtId="0" fontId="67" fillId="0" borderId="1" xfId="47" applyNumberFormat="1" applyFont="1" applyBorder="1" applyAlignment="1">
      <alignment horizontal="center" vertical="center"/>
    </xf>
    <xf numFmtId="0" fontId="67" fillId="0" borderId="1" xfId="0" applyFont="1" applyBorder="1" applyAlignment="1">
      <alignment horizontal="center" vertical="center"/>
    </xf>
    <xf numFmtId="168" fontId="0" fillId="0" borderId="1" xfId="0" quotePrefix="1" applyNumberFormat="1" applyFill="1" applyBorder="1"/>
    <xf numFmtId="0" fontId="39" fillId="19" borderId="1" xfId="0" applyFont="1" applyFill="1" applyBorder="1" applyAlignment="1">
      <alignment horizontal="center" vertical="center" wrapText="1"/>
    </xf>
    <xf numFmtId="0" fontId="41" fillId="0" borderId="1" xfId="0" applyFont="1" applyFill="1" applyBorder="1" applyAlignment="1">
      <alignment horizontal="left" vertical="top"/>
    </xf>
    <xf numFmtId="0" fontId="0" fillId="0" borderId="1" xfId="0" quotePrefix="1" applyNumberFormat="1" applyFont="1" applyBorder="1" applyAlignment="1"/>
    <xf numFmtId="184" fontId="0" fillId="0" borderId="0" xfId="0" applyNumberFormat="1"/>
    <xf numFmtId="0" fontId="2" fillId="0" borderId="0" xfId="0" applyFont="1"/>
    <xf numFmtId="0" fontId="0" fillId="19" borderId="1" xfId="0" applyFont="1" applyFill="1" applyBorder="1"/>
    <xf numFmtId="0" fontId="0" fillId="0" borderId="8" xfId="0" applyFill="1" applyBorder="1" applyAlignment="1">
      <alignment horizontal="left"/>
    </xf>
    <xf numFmtId="3" fontId="48" fillId="0" borderId="1" xfId="3" applyNumberFormat="1" applyFont="1" applyBorder="1" applyAlignment="1">
      <alignment horizontal="left" wrapText="1"/>
    </xf>
    <xf numFmtId="0" fontId="0" fillId="0" borderId="0" xfId="0" applyFont="1" applyBorder="1" applyAlignment="1">
      <alignment vertical="center"/>
    </xf>
    <xf numFmtId="177" fontId="3" fillId="49" borderId="1" xfId="7" applyNumberFormat="1" applyFont="1" applyFill="1" applyBorder="1" applyAlignment="1">
      <alignment horizontal="center"/>
    </xf>
    <xf numFmtId="177" fontId="3" fillId="49" borderId="1" xfId="7" quotePrefix="1" applyNumberFormat="1" applyFont="1" applyFill="1" applyBorder="1" applyAlignment="1">
      <alignment horizontal="center"/>
    </xf>
    <xf numFmtId="177" fontId="3" fillId="49" borderId="1" xfId="7" applyNumberFormat="1" applyFont="1" applyFill="1" applyBorder="1"/>
    <xf numFmtId="177" fontId="48" fillId="49" borderId="1" xfId="7" applyNumberFormat="1" applyFont="1" applyFill="1" applyBorder="1" applyAlignment="1">
      <alignment vertical="center"/>
    </xf>
    <xf numFmtId="0" fontId="48" fillId="49" borderId="1" xfId="3" applyFont="1" applyFill="1" applyBorder="1"/>
    <xf numFmtId="0" fontId="48" fillId="49" borderId="1" xfId="3" applyFont="1" applyFill="1" applyBorder="1" applyAlignment="1">
      <alignment horizontal="left"/>
    </xf>
    <xf numFmtId="3" fontId="48" fillId="49" borderId="1" xfId="3" applyNumberFormat="1" applyFont="1" applyFill="1" applyBorder="1"/>
    <xf numFmtId="177" fontId="3" fillId="49" borderId="1" xfId="7" applyNumberFormat="1" applyFont="1" applyFill="1" applyBorder="1" applyAlignment="1">
      <alignment horizontal="left"/>
    </xf>
    <xf numFmtId="177" fontId="77" fillId="51" borderId="1" xfId="7" applyNumberFormat="1" applyFont="1" applyFill="1" applyBorder="1" applyAlignment="1">
      <alignment horizontal="center"/>
    </xf>
    <xf numFmtId="177" fontId="77" fillId="51" borderId="1" xfId="7" quotePrefix="1" applyNumberFormat="1" applyFont="1" applyFill="1" applyBorder="1" applyAlignment="1">
      <alignment horizontal="center"/>
    </xf>
    <xf numFmtId="177" fontId="77" fillId="51" borderId="1" xfId="7" applyNumberFormat="1" applyFont="1" applyFill="1" applyBorder="1"/>
    <xf numFmtId="3" fontId="77" fillId="51" borderId="1" xfId="3" applyNumberFormat="1" applyFont="1" applyFill="1" applyBorder="1"/>
    <xf numFmtId="0" fontId="26" fillId="0" borderId="8" xfId="3" applyBorder="1"/>
    <xf numFmtId="0" fontId="26" fillId="0" borderId="8" xfId="3" applyFill="1" applyBorder="1"/>
    <xf numFmtId="0" fontId="26" fillId="0" borderId="8" xfId="3" applyBorder="1" applyAlignment="1">
      <alignment horizontal="left"/>
    </xf>
    <xf numFmtId="41" fontId="0" fillId="19" borderId="8" xfId="4" applyFont="1" applyFill="1" applyBorder="1" applyAlignment="1">
      <alignment horizontal="left" vertical="center" wrapText="1"/>
    </xf>
    <xf numFmtId="41" fontId="52" fillId="51" borderId="8" xfId="4" applyFont="1" applyFill="1" applyBorder="1" applyAlignment="1">
      <alignment horizontal="left" vertical="center" wrapText="1"/>
    </xf>
    <xf numFmtId="41" fontId="0" fillId="0" borderId="8" xfId="4" applyFont="1" applyBorder="1" applyAlignment="1">
      <alignment horizontal="left" vertical="center" wrapText="1"/>
    </xf>
    <xf numFmtId="41" fontId="0" fillId="4" borderId="8" xfId="4" applyFont="1" applyFill="1" applyBorder="1" applyAlignment="1">
      <alignment horizontal="left" vertical="center" wrapText="1"/>
    </xf>
    <xf numFmtId="0" fontId="35" fillId="21" borderId="6" xfId="3" applyFont="1" applyFill="1" applyBorder="1" applyAlignment="1">
      <alignment horizontal="center" vertical="center" wrapText="1"/>
    </xf>
    <xf numFmtId="0" fontId="47" fillId="30" borderId="6" xfId="3" applyFont="1" applyFill="1" applyBorder="1" applyAlignment="1">
      <alignment horizontal="center" vertical="center" wrapText="1"/>
    </xf>
    <xf numFmtId="0" fontId="47" fillId="21" borderId="6" xfId="3" applyFont="1" applyFill="1" applyBorder="1" applyAlignment="1">
      <alignment horizontal="center" vertical="center" wrapText="1"/>
    </xf>
    <xf numFmtId="0" fontId="47" fillId="21" borderId="6" xfId="3" applyFont="1" applyFill="1" applyBorder="1" applyAlignment="1">
      <alignment horizontal="center" vertical="center"/>
    </xf>
    <xf numFmtId="177" fontId="3" fillId="49" borderId="6" xfId="7" applyNumberFormat="1" applyFont="1" applyFill="1" applyBorder="1" applyAlignment="1">
      <alignment horizontal="center" vertical="center" wrapText="1"/>
    </xf>
    <xf numFmtId="177" fontId="3" fillId="31" borderId="6" xfId="7" applyNumberFormat="1" applyFont="1" applyFill="1" applyBorder="1" applyAlignment="1">
      <alignment horizontal="center" vertical="center" wrapText="1"/>
    </xf>
    <xf numFmtId="177" fontId="3" fillId="19" borderId="6" xfId="7" applyNumberFormat="1" applyFont="1" applyFill="1" applyBorder="1" applyAlignment="1">
      <alignment horizontal="center" vertical="center" wrapText="1"/>
    </xf>
    <xf numFmtId="177" fontId="3" fillId="0" borderId="6" xfId="7" applyNumberFormat="1" applyFont="1" applyBorder="1" applyAlignment="1">
      <alignment horizontal="center" vertical="center" wrapText="1"/>
    </xf>
    <xf numFmtId="177" fontId="3" fillId="32" borderId="6" xfId="7" applyNumberFormat="1" applyFont="1" applyFill="1" applyBorder="1" applyAlignment="1">
      <alignment horizontal="center" vertical="center" wrapText="1"/>
    </xf>
    <xf numFmtId="177" fontId="77" fillId="51" borderId="6" xfId="7" applyNumberFormat="1" applyFont="1" applyFill="1" applyBorder="1" applyAlignment="1">
      <alignment horizontal="center" vertical="center" wrapText="1"/>
    </xf>
    <xf numFmtId="177" fontId="3" fillId="4" borderId="6" xfId="7" applyNumberFormat="1" applyFont="1" applyFill="1" applyBorder="1" applyAlignment="1">
      <alignment horizontal="center" vertical="center" wrapText="1"/>
    </xf>
    <xf numFmtId="0" fontId="48" fillId="0" borderId="6" xfId="3" applyFont="1" applyBorder="1" applyAlignment="1">
      <alignment horizontal="center" vertical="center"/>
    </xf>
    <xf numFmtId="0" fontId="48" fillId="0" borderId="6" xfId="3" applyFont="1" applyBorder="1" applyAlignment="1">
      <alignment horizontal="center" vertical="center" wrapText="1"/>
    </xf>
    <xf numFmtId="0" fontId="26" fillId="19" borderId="0" xfId="3" applyFill="1" applyBorder="1"/>
    <xf numFmtId="0" fontId="26" fillId="0" borderId="0" xfId="3" applyFill="1" applyBorder="1"/>
    <xf numFmtId="0" fontId="26" fillId="0" borderId="0" xfId="3" applyBorder="1" applyAlignment="1">
      <alignment horizontal="left"/>
    </xf>
    <xf numFmtId="41" fontId="35" fillId="27" borderId="0" xfId="4" applyNumberFormat="1" applyFont="1" applyFill="1" applyBorder="1" applyAlignment="1">
      <alignment horizontal="center" vertical="center" wrapText="1"/>
    </xf>
    <xf numFmtId="41" fontId="35" fillId="28" borderId="0" xfId="4" applyNumberFormat="1" applyFont="1" applyFill="1" applyBorder="1" applyAlignment="1">
      <alignment horizontal="center" vertical="center" wrapText="1"/>
    </xf>
    <xf numFmtId="41" fontId="35" fillId="29" borderId="0" xfId="4" applyNumberFormat="1" applyFont="1" applyFill="1" applyBorder="1" applyAlignment="1">
      <alignment horizontal="center" vertical="center" wrapText="1"/>
    </xf>
    <xf numFmtId="41" fontId="0" fillId="19" borderId="0" xfId="4" applyFont="1" applyFill="1" applyBorder="1" applyAlignment="1">
      <alignment horizontal="left" vertical="center" wrapText="1"/>
    </xf>
    <xf numFmtId="41" fontId="52" fillId="51" borderId="0" xfId="4" applyFont="1" applyFill="1" applyBorder="1" applyAlignment="1">
      <alignment horizontal="left" vertical="center" wrapText="1"/>
    </xf>
    <xf numFmtId="41" fontId="0" fillId="0" borderId="0" xfId="4" applyFont="1" applyBorder="1" applyAlignment="1">
      <alignment horizontal="left" vertical="center" wrapText="1"/>
    </xf>
    <xf numFmtId="41" fontId="0" fillId="4" borderId="0" xfId="4" applyFont="1" applyFill="1" applyBorder="1" applyAlignment="1">
      <alignment horizontal="left" vertical="center" wrapText="1"/>
    </xf>
    <xf numFmtId="177" fontId="3" fillId="49" borderId="0" xfId="7" applyNumberFormat="1" applyFont="1" applyFill="1" applyBorder="1" applyAlignment="1">
      <alignment horizontal="center" vertical="center" wrapText="1"/>
    </xf>
    <xf numFmtId="0" fontId="2" fillId="23" borderId="1" xfId="0" applyFont="1" applyFill="1" applyBorder="1" applyAlignment="1">
      <alignment horizontal="center" vertical="center"/>
    </xf>
    <xf numFmtId="0" fontId="2" fillId="6" borderId="1" xfId="0" applyFont="1" applyFill="1" applyBorder="1" applyAlignment="1">
      <alignment horizontal="center" vertical="center"/>
    </xf>
    <xf numFmtId="0" fontId="50" fillId="0" borderId="42" xfId="0" applyFont="1" applyBorder="1" applyAlignment="1">
      <alignment horizontal="center" vertical="center"/>
    </xf>
    <xf numFmtId="0" fontId="50" fillId="0" borderId="41" xfId="0" applyFont="1" applyBorder="1" applyAlignment="1">
      <alignment horizontal="center" vertical="center"/>
    </xf>
    <xf numFmtId="0" fontId="50" fillId="0" borderId="40" xfId="0" applyFont="1" applyBorder="1" applyAlignment="1">
      <alignment horizontal="center" vertical="center"/>
    </xf>
    <xf numFmtId="0" fontId="67" fillId="0" borderId="8" xfId="0" applyFont="1" applyBorder="1" applyAlignment="1">
      <alignment horizontal="center" vertical="center"/>
    </xf>
    <xf numFmtId="0" fontId="67" fillId="0" borderId="21" xfId="0" applyFont="1" applyBorder="1" applyAlignment="1">
      <alignment horizontal="center" vertical="center"/>
    </xf>
    <xf numFmtId="0" fontId="67" fillId="0" borderId="6" xfId="0" applyFont="1" applyBorder="1" applyAlignment="1">
      <alignment horizontal="center" vertical="center"/>
    </xf>
    <xf numFmtId="0" fontId="3" fillId="0" borderId="8" xfId="0" applyFont="1" applyBorder="1" applyAlignment="1">
      <alignment horizontal="center" vertical="center"/>
    </xf>
    <xf numFmtId="0" fontId="3" fillId="0" borderId="21" xfId="0" applyFont="1" applyBorder="1" applyAlignment="1">
      <alignment horizontal="center" vertical="center"/>
    </xf>
    <xf numFmtId="0" fontId="3" fillId="0" borderId="6" xfId="0" applyFont="1" applyBorder="1" applyAlignment="1">
      <alignment horizontal="center" vertical="center"/>
    </xf>
    <xf numFmtId="0" fontId="67" fillId="0" borderId="8" xfId="0" applyFont="1" applyBorder="1" applyAlignment="1">
      <alignment horizontal="center"/>
    </xf>
    <xf numFmtId="0" fontId="67" fillId="0" borderId="21" xfId="0" applyFont="1" applyBorder="1" applyAlignment="1">
      <alignment horizontal="center"/>
    </xf>
    <xf numFmtId="0" fontId="67" fillId="0" borderId="6" xfId="0" applyFont="1" applyBorder="1" applyAlignment="1">
      <alignment horizontal="center"/>
    </xf>
    <xf numFmtId="0" fontId="67" fillId="0" borderId="1" xfId="0" applyFont="1" applyBorder="1" applyAlignment="1">
      <alignment horizontal="center" vertical="center"/>
    </xf>
    <xf numFmtId="0" fontId="67" fillId="0" borderId="1" xfId="46" applyFont="1" applyBorder="1" applyAlignment="1">
      <alignment horizontal="center" vertical="center"/>
    </xf>
    <xf numFmtId="0" fontId="67" fillId="0" borderId="1" xfId="0" applyFont="1" applyFill="1" applyBorder="1" applyAlignment="1">
      <alignment horizontal="center" vertical="center"/>
    </xf>
    <xf numFmtId="0" fontId="67" fillId="0" borderId="1" xfId="13" applyFont="1" applyFill="1" applyBorder="1" applyAlignment="1">
      <alignment horizontal="center" vertical="center"/>
    </xf>
    <xf numFmtId="0" fontId="3" fillId="0" borderId="1" xfId="0" applyFont="1" applyFill="1" applyBorder="1" applyAlignment="1">
      <alignment horizontal="center" vertical="center"/>
    </xf>
    <xf numFmtId="0" fontId="3" fillId="0" borderId="1" xfId="0" applyFont="1" applyFill="1" applyBorder="1" applyAlignment="1">
      <alignment horizontal="center" vertical="center" wrapText="1"/>
    </xf>
    <xf numFmtId="172" fontId="3" fillId="0" borderId="1" xfId="0" applyNumberFormat="1" applyFont="1" applyFill="1" applyBorder="1" applyAlignment="1">
      <alignment horizontal="center" vertical="center"/>
    </xf>
    <xf numFmtId="49" fontId="67" fillId="0" borderId="1" xfId="0" applyNumberFormat="1" applyFont="1" applyFill="1" applyBorder="1" applyAlignment="1">
      <alignment horizontal="center" vertical="center"/>
    </xf>
    <xf numFmtId="176" fontId="3" fillId="0" borderId="1" xfId="0" applyNumberFormat="1" applyFont="1" applyFill="1" applyBorder="1" applyAlignment="1">
      <alignment horizontal="center" vertical="center"/>
    </xf>
    <xf numFmtId="0" fontId="67" fillId="0" borderId="8" xfId="0" applyFont="1" applyBorder="1" applyAlignment="1">
      <alignment horizontal="center" vertical="center" wrapText="1"/>
    </xf>
    <xf numFmtId="0" fontId="67" fillId="0" borderId="6" xfId="0" applyFont="1" applyBorder="1" applyAlignment="1">
      <alignment horizontal="center" vertical="center" wrapText="1"/>
    </xf>
    <xf numFmtId="0" fontId="67" fillId="0" borderId="21" xfId="0" applyFont="1" applyBorder="1" applyAlignment="1">
      <alignment horizontal="center" vertical="center" wrapText="1"/>
    </xf>
    <xf numFmtId="0" fontId="3" fillId="0" borderId="1" xfId="0" applyFont="1" applyBorder="1" applyAlignment="1">
      <alignment horizontal="center" vertical="center"/>
    </xf>
    <xf numFmtId="0" fontId="67" fillId="0" borderId="1" xfId="0" applyFont="1" applyBorder="1" applyAlignment="1">
      <alignment horizontal="center" vertical="center" wrapText="1"/>
    </xf>
    <xf numFmtId="0" fontId="20" fillId="0" borderId="1" xfId="0" applyNumberFormat="1" applyFont="1" applyBorder="1" applyAlignment="1">
      <alignment horizontal="center" vertical="center"/>
    </xf>
    <xf numFmtId="0" fontId="20" fillId="0" borderId="1" xfId="0" applyFont="1" applyBorder="1" applyAlignment="1">
      <alignment horizontal="center" vertical="center"/>
    </xf>
    <xf numFmtId="1" fontId="20" fillId="0" borderId="1" xfId="0" applyNumberFormat="1" applyFont="1" applyBorder="1" applyAlignment="1">
      <alignment horizontal="center" vertical="center"/>
    </xf>
    <xf numFmtId="168" fontId="20" fillId="0" borderId="1" xfId="0" applyNumberFormat="1" applyFont="1" applyBorder="1" applyAlignment="1">
      <alignment horizontal="center" vertical="center"/>
    </xf>
    <xf numFmtId="172" fontId="20" fillId="0" borderId="1" xfId="0" applyNumberFormat="1" applyFont="1" applyBorder="1" applyAlignment="1">
      <alignment horizontal="center" vertical="center"/>
    </xf>
    <xf numFmtId="0" fontId="13" fillId="0" borderId="1" xfId="0" applyFont="1" applyBorder="1" applyAlignment="1">
      <alignment horizontal="center" vertical="center"/>
    </xf>
    <xf numFmtId="176" fontId="13" fillId="0" borderId="1" xfId="0" applyNumberFormat="1" applyFont="1" applyBorder="1" applyAlignment="1">
      <alignment horizontal="center" vertical="center"/>
    </xf>
    <xf numFmtId="0" fontId="20" fillId="0" borderId="4" xfId="0" applyFont="1" applyBorder="1" applyAlignment="1">
      <alignment horizontal="center" vertical="center"/>
    </xf>
    <xf numFmtId="0" fontId="20" fillId="0" borderId="4" xfId="0" quotePrefix="1" applyFont="1" applyBorder="1" applyAlignment="1">
      <alignment horizontal="center" vertical="center"/>
    </xf>
    <xf numFmtId="0" fontId="20" fillId="0" borderId="1" xfId="0" quotePrefix="1" applyFont="1" applyBorder="1" applyAlignment="1">
      <alignment horizontal="center" vertical="center"/>
    </xf>
    <xf numFmtId="0" fontId="65" fillId="0" borderId="1" xfId="0" applyFont="1" applyBorder="1" applyAlignment="1">
      <alignment horizontal="center" vertical="center"/>
    </xf>
    <xf numFmtId="0" fontId="0" fillId="0" borderId="1" xfId="0" applyBorder="1" applyAlignment="1">
      <alignment horizontal="center" vertical="center"/>
    </xf>
    <xf numFmtId="41" fontId="35" fillId="27" borderId="8" xfId="4" applyNumberFormat="1" applyFont="1" applyFill="1" applyBorder="1" applyAlignment="1">
      <alignment horizontal="center" vertical="center" wrapText="1"/>
    </xf>
    <xf numFmtId="41" fontId="35" fillId="28" borderId="8" xfId="4" applyNumberFormat="1" applyFont="1" applyFill="1" applyBorder="1" applyAlignment="1">
      <alignment horizontal="center" vertical="center" wrapText="1"/>
    </xf>
    <xf numFmtId="41" fontId="35" fillId="29" borderId="8" xfId="4" applyNumberFormat="1" applyFont="1" applyFill="1" applyBorder="1" applyAlignment="1">
      <alignment horizontal="center" vertical="center" wrapText="1"/>
    </xf>
  </cellXfs>
  <cellStyles count="49">
    <cellStyle name="0,0_x000d__x000a_NA_x000d__x000a_" xfId="16" xr:uid="{00000000-0005-0000-0000-000000000000}"/>
    <cellStyle name="0,0_x000d__x000a_NA_x000d__x000a_ 2 2" xfId="15" xr:uid="{00000000-0005-0000-0000-000001000000}"/>
    <cellStyle name="Comma" xfId="1" builtinId="3"/>
    <cellStyle name="Comma [0] 2" xfId="4" xr:uid="{00000000-0005-0000-0000-000003000000}"/>
    <cellStyle name="Comma [0] 3" xfId="6" xr:uid="{00000000-0005-0000-0000-000004000000}"/>
    <cellStyle name="Comma 2" xfId="7" xr:uid="{00000000-0005-0000-0000-000005000000}"/>
    <cellStyle name="Comma 3" xfId="8" xr:uid="{00000000-0005-0000-0000-000006000000}"/>
    <cellStyle name="Currency [0] 2" xfId="2" xr:uid="{00000000-0005-0000-0000-000007000000}"/>
    <cellStyle name="Normal" xfId="0" builtinId="0"/>
    <cellStyle name="Normal 10" xfId="9" xr:uid="{00000000-0005-0000-0000-000009000000}"/>
    <cellStyle name="Normal 10 2" xfId="17" xr:uid="{00000000-0005-0000-0000-00000A000000}"/>
    <cellStyle name="Normal 11" xfId="10" xr:uid="{00000000-0005-0000-0000-00000B000000}"/>
    <cellStyle name="Normal 11 2" xfId="18" xr:uid="{00000000-0005-0000-0000-00000C000000}"/>
    <cellStyle name="Normal 12" xfId="19" xr:uid="{00000000-0005-0000-0000-00000D000000}"/>
    <cellStyle name="Normal 13" xfId="20" xr:uid="{00000000-0005-0000-0000-00000E000000}"/>
    <cellStyle name="Normal 14" xfId="46" xr:uid="{00000000-0005-0000-0000-00000F000000}"/>
    <cellStyle name="Normal 15" xfId="21" xr:uid="{00000000-0005-0000-0000-000010000000}"/>
    <cellStyle name="Normal 2" xfId="3" xr:uid="{00000000-0005-0000-0000-000011000000}"/>
    <cellStyle name="Normal 2 10" xfId="23" xr:uid="{00000000-0005-0000-0000-000012000000}"/>
    <cellStyle name="Normal 2 17" xfId="24" xr:uid="{00000000-0005-0000-0000-000013000000}"/>
    <cellStyle name="Normal 2 2" xfId="11" xr:uid="{00000000-0005-0000-0000-000014000000}"/>
    <cellStyle name="Normal 2 2 2" xfId="26" xr:uid="{00000000-0005-0000-0000-000015000000}"/>
    <cellStyle name="Normal 2 2 3" xfId="25" xr:uid="{00000000-0005-0000-0000-000016000000}"/>
    <cellStyle name="Normal 2 21" xfId="27" xr:uid="{00000000-0005-0000-0000-000017000000}"/>
    <cellStyle name="Normal 2 22" xfId="28" xr:uid="{00000000-0005-0000-0000-000018000000}"/>
    <cellStyle name="Normal 2 3" xfId="29" xr:uid="{00000000-0005-0000-0000-000019000000}"/>
    <cellStyle name="Normal 2 4" xfId="22" xr:uid="{00000000-0005-0000-0000-00001A000000}"/>
    <cellStyle name="Normal 2 5" xfId="30" xr:uid="{00000000-0005-0000-0000-00001B000000}"/>
    <cellStyle name="Normal 2 6" xfId="47" xr:uid="{00000000-0005-0000-0000-00001C000000}"/>
    <cellStyle name="Normal 28" xfId="31" xr:uid="{00000000-0005-0000-0000-00001D000000}"/>
    <cellStyle name="Normal 29" xfId="32" xr:uid="{00000000-0005-0000-0000-00001E000000}"/>
    <cellStyle name="Normal 3" xfId="12" xr:uid="{00000000-0005-0000-0000-00001F000000}"/>
    <cellStyle name="Normal 3 2" xfId="33" xr:uid="{00000000-0005-0000-0000-000020000000}"/>
    <cellStyle name="Normal 3 3" xfId="34" xr:uid="{00000000-0005-0000-0000-000021000000}"/>
    <cellStyle name="Normal 3 4" xfId="35" xr:uid="{00000000-0005-0000-0000-000022000000}"/>
    <cellStyle name="Normal 3 5" xfId="14" xr:uid="{00000000-0005-0000-0000-000023000000}"/>
    <cellStyle name="Normal 4" xfId="13" xr:uid="{00000000-0005-0000-0000-000024000000}"/>
    <cellStyle name="Normal 4 2" xfId="37" xr:uid="{00000000-0005-0000-0000-000025000000}"/>
    <cellStyle name="Normal 4 2 2" xfId="38" xr:uid="{00000000-0005-0000-0000-000026000000}"/>
    <cellStyle name="Normal 4 3" xfId="39" xr:uid="{00000000-0005-0000-0000-000027000000}"/>
    <cellStyle name="Normal 4 4" xfId="36" xr:uid="{00000000-0005-0000-0000-000028000000}"/>
    <cellStyle name="Normal 5" xfId="40" xr:uid="{00000000-0005-0000-0000-000029000000}"/>
    <cellStyle name="Normal 6" xfId="41" xr:uid="{00000000-0005-0000-0000-00002A000000}"/>
    <cellStyle name="Normal 6 2" xfId="42" xr:uid="{00000000-0005-0000-0000-00002B000000}"/>
    <cellStyle name="Normal 7" xfId="43" xr:uid="{00000000-0005-0000-0000-00002C000000}"/>
    <cellStyle name="Normal 7 2" xfId="44" xr:uid="{00000000-0005-0000-0000-00002D000000}"/>
    <cellStyle name="Normal 8" xfId="5" xr:uid="{00000000-0005-0000-0000-00002E000000}"/>
    <cellStyle name="Normal 9" xfId="45" xr:uid="{00000000-0005-0000-0000-00002F000000}"/>
    <cellStyle name="Percent" xfId="48" builtinId="5"/>
  </cellStyles>
  <dxfs count="252">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numFmt numFmtId="164" formatCode="_-&quot;Rp&quot;* #,##0_-;\-&quot;Rp&quot;* #,##0_-;_-&quot;Rp&quot;* &quot;-&quot;_-;_-@_-"/>
    </dxf>
    <dxf>
      <alignment horizontal="center" readingOrder="0"/>
    </dxf>
    <dxf>
      <alignment vertical="center" readingOrder="0"/>
    </dxf>
    <dxf>
      <alignment wrapText="1" readingOrder="0"/>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ont>
        <color rgb="FFFF0000"/>
      </font>
    </dxf>
    <dxf>
      <fill>
        <patternFill patternType="solid">
          <bgColor theme="9" tint="0.79998168889431442"/>
        </patternFill>
      </fill>
    </dxf>
    <dxf>
      <fill>
        <patternFill patternType="solid">
          <bgColor theme="9" tint="0.79998168889431442"/>
        </patternFill>
      </fill>
    </dxf>
    <dxf>
      <fill>
        <patternFill patternType="solid">
          <bgColor theme="7" tint="0.79998168889431442"/>
        </patternFill>
      </fill>
    </dxf>
    <dxf>
      <fill>
        <patternFill patternType="solid">
          <bgColor theme="7"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patternType="solid">
          <bgColor theme="4" tint="0.79998168889431442"/>
        </patternFill>
      </fill>
    </dxf>
    <dxf>
      <fill>
        <patternFill>
          <bgColor theme="9" tint="0.39997558519241921"/>
        </patternFill>
      </fill>
    </dxf>
    <dxf>
      <fill>
        <patternFill>
          <bgColor theme="9" tint="0.39997558519241921"/>
        </patternFill>
      </fill>
    </dxf>
    <dxf>
      <fill>
        <patternFill patternType="solid">
          <bgColor theme="7" tint="0.39997558519241921"/>
        </patternFill>
      </fill>
    </dxf>
    <dxf>
      <fill>
        <patternFill patternType="solid">
          <bgColor theme="7" tint="0.39997558519241921"/>
        </patternFill>
      </fill>
    </dxf>
    <dxf>
      <font>
        <color theme="0"/>
      </font>
    </dxf>
    <dxf>
      <font>
        <color theme="0"/>
      </font>
    </dxf>
    <dxf>
      <font>
        <color theme="0"/>
      </font>
    </dxf>
    <dxf>
      <font>
        <color theme="0"/>
      </font>
    </dxf>
    <dxf>
      <font>
        <color theme="0"/>
      </font>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fill>
        <patternFill patternType="solid">
          <bgColor rgb="FF0070C0"/>
        </patternFill>
      </fill>
    </dxf>
    <dxf>
      <numFmt numFmtId="179" formatCode="_-[$Rp-421]* #,##0.00_-;\-[$Rp-421]* #,##0.00_-;_-[$Rp-421]* &quot;-&quot;??_-;_-@_-"/>
    </dxf>
    <dxf>
      <alignment horizontal="center" readingOrder="0"/>
    </dxf>
    <dxf>
      <numFmt numFmtId="164" formatCode="_-&quot;Rp&quot;* #,##0_-;\-&quot;Rp&quot;* #,##0_-;_-&quot;Rp&quot;* &quot;-&quot;_-;_-@_-"/>
    </dxf>
    <dxf>
      <alignment horizontal="center" readingOrder="0"/>
    </dxf>
    <dxf>
      <alignment horizontal="center" readingOrder="0"/>
    </dxf>
    <dxf>
      <alignment vertical="center" readingOrder="0"/>
    </dxf>
    <dxf>
      <alignment vertical="center" readingOrder="0"/>
    </dxf>
    <dxf>
      <alignment wrapText="1" readingOrder="0"/>
    </dxf>
    <dxf>
      <alignment wrapText="1" readingOrder="0"/>
    </dxf>
    <dxf>
      <numFmt numFmtId="164" formatCode="_-&quot;Rp&quot;* #,##0_-;\-&quot;Rp&quot;* #,##0_-;_-&quot;Rp&quot;* &quot;-&quot;_-;_-@_-"/>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left style="thin">
          <color indexed="64"/>
        </left>
        <right style="thin">
          <color indexed="64"/>
        </right>
        <top style="thin">
          <color indexed="64"/>
        </top>
        <bottom/>
        <vertical/>
        <horizontal/>
      </border>
    </dxf>
    <dxf>
      <fill>
        <patternFill patternType="none">
          <fgColor indexed="64"/>
          <bgColor indexed="65"/>
        </patternFill>
      </fill>
      <alignment horizontal="general" vertical="bottom" textRotation="0" wrapText="1" indent="0" justifyLastLine="0" shrinkToFit="0" readingOrder="0"/>
      <border diagonalUp="0" diagonalDown="0" outline="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 formatCode="0"/>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68" formatCode="dd\ mmm\ yyyy"/>
      <fill>
        <patternFill patternType="none">
          <fgColor indexed="64"/>
          <bgColor indexed="65"/>
        </patternFill>
      </fill>
      <alignment horizontal="center" textRotation="0" indent="0" justifyLastLine="0" shrinkToFit="0" readingOrder="0"/>
      <border diagonalUp="0" diagonalDown="0" outline="0">
        <left style="thin">
          <color indexed="64"/>
        </left>
        <right style="thin">
          <color indexed="64"/>
        </right>
        <top style="thin">
          <color indexed="64"/>
        </top>
        <bottom style="thin">
          <color indexed="64"/>
        </bottom>
      </border>
    </dxf>
    <dxf>
      <numFmt numFmtId="170" formatCode="mmm\ 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70" formatCode="mmm\ yy"/>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numFmt numFmtId="168" formatCode="dd\ mmm\ yyyy"/>
      <fill>
        <patternFill patternType="none">
          <fgColor indexed="64"/>
          <bgColor indexed="65"/>
        </patternFill>
      </fill>
      <alignment horizontal="center"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 formatCode="0"/>
    </dxf>
    <dxf>
      <numFmt numFmtId="168" formatCode="dd\ mmm\ 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68" formatCode="dd\ mmm\ 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68" formatCode="dd\ mmm\ 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68" formatCode="dd\ mmm\ 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68" formatCode="dd\ mmm\ yyyy"/>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numFmt numFmtId="168" formatCode="dd\ mmm\ yyyy"/>
      <fill>
        <patternFill patternType="none">
          <fgColor indexed="64"/>
          <bgColor indexed="65"/>
        </patternFill>
      </fill>
      <border diagonalUp="0" diagonalDown="0">
        <left style="thin">
          <color indexed="64"/>
        </left>
        <right style="thin">
          <color indexed="64"/>
        </right>
        <top style="thin">
          <color indexed="64"/>
        </top>
        <bottom style="thin">
          <color indexed="64"/>
        </bottom>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right style="thin">
          <color indexed="64"/>
        </right>
        <top style="thin">
          <color indexed="64"/>
        </top>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alignment horizontal="left" vertical="bottom" textRotation="0" wrapText="0" indent="0" justifyLastLine="0" shrinkToFit="0" readingOrder="0"/>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fill>
        <patternFill patternType="none">
          <fgColor indexed="64"/>
          <bgColor indexed="65"/>
        </patternFill>
      </fill>
      <border diagonalUp="0" diagonalDown="0">
        <left style="thin">
          <color indexed="64"/>
        </left>
        <right style="thin">
          <color indexed="64"/>
        </right>
        <top style="thin">
          <color indexed="64"/>
        </top>
        <bottom style="thin">
          <color indexed="64"/>
        </bottom>
        <vertical/>
        <horizontal/>
      </border>
    </dxf>
    <dxf>
      <border outline="0">
        <left style="thin">
          <color indexed="64"/>
        </left>
        <right style="thin">
          <color indexed="64"/>
        </right>
        <top style="thin">
          <color indexed="64"/>
        </top>
        <bottom style="thin">
          <color indexed="64"/>
        </bottom>
      </border>
    </dxf>
    <dxf>
      <fill>
        <patternFill patternType="none">
          <fgColor indexed="64"/>
          <bgColor indexed="65"/>
        </patternFill>
      </fill>
    </dxf>
    <dxf>
      <border outline="0">
        <bottom style="thin">
          <color indexed="64"/>
        </bottom>
      </border>
    </dxf>
    <dxf>
      <font>
        <b/>
        <i val="0"/>
        <strike val="0"/>
        <condense val="0"/>
        <extend val="0"/>
        <outline val="0"/>
        <shadow val="0"/>
        <u val="none"/>
        <vertAlign val="baseline"/>
        <sz val="12"/>
        <color theme="0"/>
        <name val="Calibri"/>
        <scheme val="minor"/>
      </font>
      <fill>
        <patternFill patternType="solid">
          <fgColor indexed="64"/>
          <bgColor theme="4" tint="-0.499984740745262"/>
        </patternFill>
      </fill>
      <alignment horizontal="center" vertical="center" textRotation="0" wrapText="1" indent="0" justifyLastLine="0" shrinkToFit="0" readingOrder="0"/>
      <border diagonalUp="0" diagonalDown="0" outline="0">
        <left style="thin">
          <color indexed="64"/>
        </left>
        <right style="thin">
          <color indexed="64"/>
        </right>
        <top/>
        <bottom/>
      </border>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ndense val="0"/>
        <extend val="0"/>
        <color rgb="FF9C0006"/>
      </font>
      <fill>
        <patternFill>
          <bgColor rgb="FFFFC7CE"/>
        </patternFill>
      </fill>
    </dxf>
    <dxf>
      <font>
        <color rgb="FF9C0006"/>
      </font>
      <fill>
        <patternFill>
          <bgColor rgb="FFFFC7CE"/>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externalLink" Target="externalLinks/externalLink1.xml"/><Relationship Id="rId18" Type="http://schemas.openxmlformats.org/officeDocument/2006/relationships/pivotCacheDefinition" Target="pivotCache/pivotCacheDefinition2.xml"/><Relationship Id="rId3" Type="http://schemas.openxmlformats.org/officeDocument/2006/relationships/worksheet" Target="worksheets/sheet3.xml"/><Relationship Id="rId21" Type="http://schemas.openxmlformats.org/officeDocument/2006/relationships/sharedStrings" Target="sharedStrings.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pivotCacheDefinition" Target="pivotCache/pivotCacheDefinition1.xml"/><Relationship Id="rId2" Type="http://schemas.openxmlformats.org/officeDocument/2006/relationships/worksheet" Target="worksheets/sheet2.xml"/><Relationship Id="rId16" Type="http://schemas.openxmlformats.org/officeDocument/2006/relationships/externalLink" Target="externalLinks/externalLink4.xml"/><Relationship Id="rId20" Type="http://schemas.openxmlformats.org/officeDocument/2006/relationships/styles" Target="style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externalLink" Target="externalLinks/externalLink3.xml"/><Relationship Id="rId10" Type="http://schemas.openxmlformats.org/officeDocument/2006/relationships/worksheet" Target="worksheets/sheet10.xml"/><Relationship Id="rId1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externalLink" Target="externalLinks/externalLink2.xml"/><Relationship Id="rId22" Type="http://schemas.openxmlformats.org/officeDocument/2006/relationships/calcChain" Target="calcChain.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555504170021/AppData/Local/Microsoft/Windows/INetCache/Content.Outlook/NWQC2BF1/Progress%20Sitac%202019.xlsx" TargetMode="External"/></Relationships>
</file>

<file path=xl/externalLinks/_rels/externalLink2.xml.rels><?xml version="1.0" encoding="UTF-8" standalone="yes"?>
<Relationships xmlns="http://schemas.openxmlformats.org/package/2006/relationships"><Relationship Id="rId1" Type="http://schemas.openxmlformats.org/officeDocument/2006/relationships/externalLinkPath" Target="/Users/201910020177/Downloads/ListDetail%20(17).xls" TargetMode="External"/></Relationships>
</file>

<file path=xl/externalLinks/_rels/externalLink3.xml.rels><?xml version="1.0" encoding="UTF-8" standalone="yes"?>
<Relationships xmlns="http://schemas.openxmlformats.org/package/2006/relationships"><Relationship Id="rId1" Type="http://schemas.openxmlformats.org/officeDocument/2006/relationships/externalLinkPath" Target="file:///D:\SITAC\Progres%20SITAC%20JABO.xlsx" TargetMode="External"/></Relationships>
</file>

<file path=xl/externalLinks/_rels/externalLink4.xml.rels><?xml version="1.0" encoding="UTF-8" standalone="yes"?>
<Relationships xmlns="http://schemas.openxmlformats.org/package/2006/relationships"><Relationship Id="rId1" Type="http://schemas.openxmlformats.org/officeDocument/2006/relationships/externalLinkPath" Target="/Users/555504170021/AppData/Local/Microsoft/Windows/INetCache/Content.Outlook/NWQC2BF1/Lampiran%20DRM%20B2S%202017_07Des16%20rev1%20(3).xlsx"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UMMARY"/>
      <sheetName val="Summary Pak Moko"/>
      <sheetName val="Subiyatmoko"/>
      <sheetName val="Summary Progress"/>
      <sheetName val="Site List 2019 All "/>
      <sheetName val="Site List Progres Jabo TSEL"/>
      <sheetName val="Site List DRM Jabo"/>
      <sheetName val="All Progress"/>
      <sheetName val="Plan Cost Khusus Untapped+B2S"/>
      <sheetName val="Cover Eskalasi Khusus Untapped"/>
      <sheetName val="Plan Cost"/>
      <sheetName val="Plan Cost B2S"/>
      <sheetName val="Cover Eskalasi B2S"/>
      <sheetName val="Sheet2"/>
      <sheetName val="Sheet3"/>
      <sheetName val="Sheet11"/>
    </sheetNames>
    <sheetDataSet>
      <sheetData sheetId="0"/>
      <sheetData sheetId="1"/>
      <sheetData sheetId="2"/>
      <sheetData sheetId="3"/>
      <sheetData sheetId="4"/>
      <sheetData sheetId="5"/>
      <sheetData sheetId="6"/>
      <sheetData sheetId="7"/>
      <sheetData sheetId="8"/>
      <sheetData sheetId="9">
        <row r="1">
          <cell r="D1" t="str">
            <v>JALAN SULAWESI TIGA</v>
          </cell>
        </row>
      </sheetData>
      <sheetData sheetId="10"/>
      <sheetData sheetId="11"/>
      <sheetData sheetId="12"/>
      <sheetData sheetId="13"/>
      <sheetData sheetId="14"/>
      <sheetData sheetId="15"/>
    </sheetDataSet>
  </externalBook>
</externalLink>
</file>

<file path=xl/externalLinks/externalLink2.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2"/>
      <sheetName val="Worksheet1"/>
    </sheetNames>
    <sheetDataSet>
      <sheetData sheetId="0"/>
      <sheetData sheetId="1">
        <row r="1">
          <cell r="B1" t="str">
            <v>SONumber</v>
          </cell>
        </row>
      </sheetData>
    </sheetDataSet>
  </externalBook>
</externalLink>
</file>

<file path=xl/externalLinks/externalLink3.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Sheet5"/>
      <sheetName val="DROPDOWN"/>
      <sheetName val="Progress"/>
      <sheetName val="Target"/>
      <sheetName val="Eskalasi Ready"/>
      <sheetName val="Input Eskalasi"/>
      <sheetName val="Request Soil Test"/>
      <sheetName val="Pengajuan Approval to ARO"/>
      <sheetName val="Validasi XL"/>
      <sheetName val="PIVOT"/>
      <sheetName val="Summary"/>
      <sheetName val="Target RFC"/>
      <sheetName val="Analisa Potensi Colo SF"/>
      <sheetName val="validasi SF "/>
      <sheetName val="Validasi Indosat"/>
      <sheetName val="Analisa Potensi Colo XL"/>
    </sheetNames>
    <sheetDataSet>
      <sheetData sheetId="0"/>
      <sheetData sheetId="1"/>
      <sheetData sheetId="2">
        <row r="4">
          <cell r="A4" t="str">
            <v>Site ID OPERATOR</v>
          </cell>
          <cell r="B4" t="str">
            <v>SONUMBER</v>
          </cell>
          <cell r="C4" t="str">
            <v>Site ID TBG</v>
          </cell>
          <cell r="D4" t="str">
            <v>ID VENDOR OPERATOR</v>
          </cell>
          <cell r="E4" t="str">
            <v>Site Name TBG</v>
          </cell>
          <cell r="F4" t="str">
            <v>STIP Date</v>
          </cell>
          <cell r="G4" t="str">
            <v>Monthly STIP</v>
          </cell>
          <cell r="H4" t="str">
            <v>Aging</v>
          </cell>
          <cell r="I4" t="str">
            <v>Region</v>
          </cell>
          <cell r="J4" t="str">
            <v>Residence</v>
          </cell>
          <cell r="K4" t="str">
            <v>OPERATOR</v>
          </cell>
          <cell r="L4" t="str">
            <v>Site Type</v>
          </cell>
          <cell r="M4" t="str">
            <v>Kand terakhir</v>
          </cell>
          <cell r="N4" t="str">
            <v>New Lat</v>
          </cell>
          <cell r="O4" t="str">
            <v>New Long</v>
          </cell>
          <cell r="P4" t="str">
            <v>Lat Nom</v>
          </cell>
          <cell r="Q4" t="str">
            <v>Long Nom</v>
          </cell>
          <cell r="R4" t="str">
            <v>Mitra</v>
          </cell>
          <cell r="S4" t="str">
            <v>Sitac Officer</v>
          </cell>
          <cell r="T4" t="str">
            <v>BAN UPDATE</v>
          </cell>
          <cell r="U4" t="str">
            <v>GROUP STAGE</v>
          </cell>
          <cell r="V4" t="str">
            <v>Progress</v>
          </cell>
          <cell r="W4" t="str">
            <v>target RFC mitra</v>
          </cell>
          <cell r="X4" t="str">
            <v>target RFC</v>
          </cell>
          <cell r="Y4" t="str">
            <v>RFC Actual</v>
          </cell>
          <cell r="Z4" t="str">
            <v>Hasil Validasi</v>
          </cell>
          <cell r="AA4" t="str">
            <v>Last Update</v>
          </cell>
          <cell r="AB4" t="str">
            <v>Action</v>
          </cell>
          <cell r="AC4" t="str">
            <v>Target IW Clear dan Submit Eskalasi</v>
          </cell>
          <cell r="AD4" t="str">
            <v>Problem</v>
          </cell>
          <cell r="AE4" t="str">
            <v>History</v>
          </cell>
          <cell r="AF4" t="str">
            <v>Plan</v>
          </cell>
          <cell r="AG4" t="str">
            <v>RFC Confident</v>
          </cell>
          <cell r="AH4" t="str">
            <v>Site Type</v>
          </cell>
          <cell r="AI4" t="str">
            <v>STIP Category</v>
          </cell>
          <cell r="AJ4" t="str">
            <v>Company</v>
          </cell>
          <cell r="AK4" t="str">
            <v>Kandidat</v>
          </cell>
          <cell r="AL4" t="str">
            <v>Longitude</v>
          </cell>
          <cell r="AM4" t="str">
            <v>Latitude</v>
          </cell>
          <cell r="AN4" t="str">
            <v>Address</v>
          </cell>
          <cell r="AO4" t="str">
            <v>Tower height</v>
          </cell>
          <cell r="AP4" t="str">
            <v>Province</v>
          </cell>
        </row>
        <row r="5">
          <cell r="A5" t="str">
            <v>JAW-BT-TNG-1458</v>
          </cell>
          <cell r="B5">
            <v>30572080031</v>
          </cell>
          <cell r="C5">
            <v>1317441003</v>
          </cell>
          <cell r="D5" t="str">
            <v>JAW-BT-TNG-1458</v>
          </cell>
          <cell r="E5" t="str">
            <v>Taman Golf Boulevard</v>
          </cell>
          <cell r="F5">
            <v>43844</v>
          </cell>
          <cell r="G5" t="str">
            <v>JAN 2020</v>
          </cell>
          <cell r="H5">
            <v>344</v>
          </cell>
          <cell r="I5" t="str">
            <v>JABODETABEK (INNER)</v>
          </cell>
          <cell r="J5" t="str">
            <v>KOTA TANGERANG</v>
          </cell>
          <cell r="K5" t="str">
            <v>XL</v>
          </cell>
          <cell r="L5" t="str">
            <v>-</v>
          </cell>
          <cell r="M5"/>
          <cell r="N5"/>
          <cell r="O5"/>
          <cell r="P5"/>
          <cell r="Q5"/>
          <cell r="R5"/>
          <cell r="S5" t="str">
            <v>Aditya Rachman</v>
          </cell>
          <cell r="T5"/>
          <cell r="U5" t="str">
            <v>PRE SITAC</v>
          </cell>
          <cell r="V5" t="str">
            <v>01. Hunting</v>
          </cell>
          <cell r="W5"/>
          <cell r="X5"/>
          <cell r="Y5"/>
          <cell r="Z5" t="e">
            <v>#N/A</v>
          </cell>
          <cell r="AA5" t="str">
            <v>Validasi NOM, SPK Mitra, Approval Ekskalsi. IW Clear</v>
          </cell>
          <cell r="AB5" t="str">
            <v>FU Bersurat ke kawasan modernland
Submit JR 20 Feb 2020, need arahan XL</v>
          </cell>
          <cell r="AC5" t="str">
            <v>-</v>
          </cell>
          <cell r="AD5"/>
          <cell r="AE5"/>
          <cell r="AF5"/>
          <cell r="AG5"/>
          <cell r="AH5"/>
          <cell r="AI5"/>
          <cell r="AJ5"/>
          <cell r="AK5"/>
          <cell r="AL5"/>
          <cell r="AM5"/>
          <cell r="AN5"/>
          <cell r="AO5"/>
          <cell r="AP5"/>
        </row>
        <row r="6">
          <cell r="A6"/>
          <cell r="B6">
            <v>230579610231</v>
          </cell>
          <cell r="C6">
            <v>1261231023</v>
          </cell>
          <cell r="D6" t="str">
            <v>ZJKT2_5956</v>
          </cell>
          <cell r="E6" t="str">
            <v>BAHAGIA BABELAN</v>
          </cell>
          <cell r="F6">
            <v>43871</v>
          </cell>
          <cell r="G6" t="str">
            <v>FEB 2020</v>
          </cell>
          <cell r="H6">
            <v>317</v>
          </cell>
          <cell r="I6" t="str">
            <v>JABODETABEK (OUTER)</v>
          </cell>
          <cell r="J6" t="str">
            <v>BEKASI</v>
          </cell>
          <cell r="K6" t="str">
            <v>SMARTFREN</v>
          </cell>
          <cell r="L6" t="str">
            <v>-</v>
          </cell>
          <cell r="M6"/>
          <cell r="N6" t="e">
            <v>#REF!</v>
          </cell>
          <cell r="O6"/>
          <cell r="P6" t="e">
            <v>#REF!</v>
          </cell>
          <cell r="Q6"/>
          <cell r="R6" t="str">
            <v>DATATEL</v>
          </cell>
          <cell r="S6" t="str">
            <v>Handri Purnama</v>
          </cell>
          <cell r="T6"/>
          <cell r="U6" t="str">
            <v>PRE SITAC</v>
          </cell>
          <cell r="V6" t="str">
            <v>02. Rehunting</v>
          </cell>
          <cell r="W6"/>
          <cell r="X6"/>
          <cell r="Y6"/>
          <cell r="Z6" t="str">
            <v>Propose ke selatan (ada site existing)</v>
          </cell>
          <cell r="AA6" t="str">
            <v>06.03 : Validasi NOK Propose ke selatan (ada site existing)
 Validasi Kand A, BAN Suubmit tgl 10 mart Pararel IW 
Validasi Kand A</v>
          </cell>
          <cell r="AB6"/>
          <cell r="AC6"/>
          <cell r="AD6"/>
          <cell r="AE6"/>
          <cell r="AF6"/>
          <cell r="AG6"/>
          <cell r="AH6"/>
          <cell r="AI6"/>
          <cell r="AJ6"/>
          <cell r="AK6" t="str">
            <v>A</v>
          </cell>
          <cell r="AL6">
            <v>107.01822</v>
          </cell>
          <cell r="AM6">
            <v>-6.1755599999999999</v>
          </cell>
          <cell r="AN6"/>
          <cell r="AO6" t="str">
            <v>SST 32</v>
          </cell>
          <cell r="AP6"/>
        </row>
        <row r="7">
          <cell r="A7"/>
          <cell r="B7">
            <v>230579970231</v>
          </cell>
          <cell r="C7">
            <v>1261331023</v>
          </cell>
          <cell r="D7" t="str">
            <v>ZJKT2_5921</v>
          </cell>
          <cell r="E7" t="str">
            <v>CIANTRA CIKARANG SELATAN</v>
          </cell>
          <cell r="F7">
            <v>43872</v>
          </cell>
          <cell r="G7" t="str">
            <v>FEB 2020</v>
          </cell>
          <cell r="H7">
            <v>316</v>
          </cell>
          <cell r="I7" t="str">
            <v>JABODETABEK (OUTER)</v>
          </cell>
          <cell r="J7" t="str">
            <v>BEKASI</v>
          </cell>
          <cell r="K7" t="str">
            <v>SMARTFREN</v>
          </cell>
          <cell r="L7" t="str">
            <v>-</v>
          </cell>
          <cell r="M7"/>
          <cell r="N7"/>
          <cell r="O7"/>
          <cell r="P7"/>
          <cell r="Q7"/>
          <cell r="R7" t="str">
            <v>Orlie</v>
          </cell>
          <cell r="S7" t="str">
            <v>Handri Purnama</v>
          </cell>
          <cell r="T7"/>
          <cell r="U7" t="str">
            <v>SITAC</v>
          </cell>
          <cell r="V7" t="str">
            <v>05. BAN/BAK</v>
          </cell>
          <cell r="W7"/>
          <cell r="X7" t="str">
            <v>W2 April</v>
          </cell>
          <cell r="Y7"/>
          <cell r="Z7" t="str">
            <v>OK, 30m</v>
          </cell>
          <cell r="AA7" t="str">
            <v>Hasil validasi Kand A ok, 30m
Validasi Kand A</v>
          </cell>
          <cell r="AB7"/>
          <cell r="AC7"/>
          <cell r="AD7"/>
          <cell r="AE7"/>
          <cell r="AF7"/>
          <cell r="AG7"/>
          <cell r="AH7"/>
          <cell r="AI7"/>
          <cell r="AJ7"/>
          <cell r="AK7" t="str">
            <v>A</v>
          </cell>
          <cell r="AL7">
            <v>107.1157</v>
          </cell>
          <cell r="AM7">
            <v>-6.3403900000000002</v>
          </cell>
          <cell r="AN7"/>
          <cell r="AO7"/>
          <cell r="AP7"/>
        </row>
        <row r="8">
          <cell r="A8" t="str">
            <v>ZJKT2_4373</v>
          </cell>
          <cell r="B8">
            <v>230581800231</v>
          </cell>
          <cell r="C8">
            <v>1261611023</v>
          </cell>
          <cell r="D8" t="str">
            <v>ZJKT2_4373</v>
          </cell>
          <cell r="E8" t="str">
            <v>MUSTIKAJAYA BEKASI</v>
          </cell>
          <cell r="F8">
            <v>43878</v>
          </cell>
          <cell r="G8" t="str">
            <v>FEB 2020</v>
          </cell>
          <cell r="H8">
            <v>310</v>
          </cell>
          <cell r="I8" t="str">
            <v>JABODETABEK (OUTER)</v>
          </cell>
          <cell r="J8" t="str">
            <v>KOTA BEKASI</v>
          </cell>
          <cell r="K8" t="str">
            <v>SMARTFREN</v>
          </cell>
          <cell r="L8" t="str">
            <v>-</v>
          </cell>
          <cell r="M8"/>
          <cell r="N8"/>
          <cell r="O8">
            <v>-6.3040729999999998</v>
          </cell>
          <cell r="P8"/>
          <cell r="Q8">
            <v>107.02891</v>
          </cell>
          <cell r="R8" t="str">
            <v>NY MITRA</v>
          </cell>
          <cell r="S8"/>
          <cell r="T8"/>
          <cell r="U8" t="str">
            <v>SITAC</v>
          </cell>
          <cell r="V8" t="str">
            <v>05. BAN/BAK</v>
          </cell>
          <cell r="W8"/>
          <cell r="X8"/>
          <cell r="Y8"/>
          <cell r="Z8" t="str">
            <v>OK, 30m</v>
          </cell>
          <cell r="AA8" t="str">
            <v>Hasil validasi Kand A ok, 30m
Proses Validasi kand A</v>
          </cell>
          <cell r="AB8" t="str">
            <v>Validasi kandidat A</v>
          </cell>
          <cell r="AC8"/>
          <cell r="AD8"/>
          <cell r="AE8"/>
          <cell r="AF8"/>
          <cell r="AG8"/>
          <cell r="AH8" t="str">
            <v>NEW BUILD</v>
          </cell>
          <cell r="AI8" t="str">
            <v>STIP 1</v>
          </cell>
          <cell r="AJ8" t="str">
            <v>TB</v>
          </cell>
          <cell r="AK8" t="str">
            <v>A</v>
          </cell>
          <cell r="AL8" t="str">
            <v>107.02915</v>
          </cell>
          <cell r="AM8" t="str">
            <v>-6.30420</v>
          </cell>
          <cell r="AN8" t="str">
            <v>Jl Raya Mustika Jaya Kp Ciketing RT. 03 RW. 07 Kel. Mustika Jaya Kec.Mustika Jaya, Kota Bekasi</v>
          </cell>
          <cell r="AO8" t="str">
            <v>32 m</v>
          </cell>
          <cell r="AP8" t="str">
            <v>JAWA BARAT</v>
          </cell>
        </row>
        <row r="9">
          <cell r="A9"/>
          <cell r="B9">
            <v>230579910231</v>
          </cell>
          <cell r="C9">
            <v>1261301023</v>
          </cell>
          <cell r="D9" t="str">
            <v>ZBGR_4657</v>
          </cell>
          <cell r="E9" t="str">
            <v>CIAPUS CIOMAS</v>
          </cell>
          <cell r="F9">
            <v>43872</v>
          </cell>
          <cell r="G9" t="str">
            <v>FEB 2020</v>
          </cell>
          <cell r="H9">
            <v>316</v>
          </cell>
          <cell r="I9" t="str">
            <v>JABODETABEK (OUTER)</v>
          </cell>
          <cell r="J9" t="str">
            <v>BOGOR</v>
          </cell>
          <cell r="K9" t="str">
            <v>SMARTFREN</v>
          </cell>
          <cell r="L9" t="str">
            <v>-</v>
          </cell>
          <cell r="M9"/>
          <cell r="N9"/>
          <cell r="O9"/>
          <cell r="P9"/>
          <cell r="Q9"/>
          <cell r="R9" t="str">
            <v>BNP</v>
          </cell>
          <cell r="S9" t="str">
            <v>Aditya Rachaman</v>
          </cell>
          <cell r="T9"/>
          <cell r="U9" t="str">
            <v>PRE SITAC</v>
          </cell>
          <cell r="V9" t="str">
            <v>01. Hunting</v>
          </cell>
          <cell r="W9"/>
          <cell r="X9"/>
          <cell r="Y9"/>
          <cell r="Z9" t="e">
            <v>#N/A</v>
          </cell>
          <cell r="AA9" t="str">
            <v>Hunting kandidat A Masuk area cellplan sempit, hard space, BNP akan kirim BA Cancel</v>
          </cell>
          <cell r="AB9" t="str">
            <v>Submit kandidat A 24 Feb 2020</v>
          </cell>
          <cell r="AC9"/>
          <cell r="AD9"/>
          <cell r="AE9"/>
          <cell r="AF9"/>
          <cell r="AG9"/>
          <cell r="AH9"/>
          <cell r="AI9"/>
          <cell r="AJ9"/>
          <cell r="AK9"/>
          <cell r="AL9"/>
          <cell r="AM9"/>
          <cell r="AN9"/>
          <cell r="AO9"/>
          <cell r="AP9"/>
        </row>
        <row r="10">
          <cell r="A10" t="str">
            <v>ZJKT2_6065</v>
          </cell>
          <cell r="B10">
            <v>230579400231</v>
          </cell>
          <cell r="C10">
            <v>1317911023</v>
          </cell>
          <cell r="D10" t="str">
            <v>ZJKT2_6065</v>
          </cell>
          <cell r="E10" t="str">
            <v>CISAIT KRAGILAN</v>
          </cell>
          <cell r="F10">
            <v>43871</v>
          </cell>
          <cell r="G10" t="str">
            <v>FEB 2020</v>
          </cell>
          <cell r="H10">
            <v>317</v>
          </cell>
          <cell r="I10" t="str">
            <v>JABODETABEK (OUTER)</v>
          </cell>
          <cell r="J10" t="str">
            <v>SERANG</v>
          </cell>
          <cell r="K10" t="str">
            <v>SMARTFREN</v>
          </cell>
          <cell r="L10" t="str">
            <v>-</v>
          </cell>
          <cell r="M10"/>
          <cell r="N10"/>
          <cell r="O10"/>
          <cell r="P10"/>
          <cell r="Q10"/>
          <cell r="R10" t="str">
            <v>BNP</v>
          </cell>
          <cell r="S10" t="str">
            <v>Aditya Rachaman</v>
          </cell>
          <cell r="T10"/>
          <cell r="U10" t="str">
            <v>SITAC</v>
          </cell>
          <cell r="V10" t="str">
            <v>08. Realisasi sitac</v>
          </cell>
          <cell r="W10"/>
          <cell r="X10"/>
          <cell r="Y10"/>
          <cell r="Z10" t="str">
            <v>OK, 40m</v>
          </cell>
          <cell r="AA10" t="str">
            <v xml:space="preserve">Hasil Validasi Kand B OK, 40m
Kand B, Ban 16jt iw clear waiting validasi Kand A Reject Warga
Proses BAN dan IW, Validasi OK
Submit kandidat A, proses validasi, BAN dan IW NY </v>
          </cell>
          <cell r="AB10" t="str">
            <v>Proses Validasi</v>
          </cell>
          <cell r="AC10" t="str">
            <v>-</v>
          </cell>
          <cell r="AD10" t="str">
            <v>-</v>
          </cell>
          <cell r="AE10"/>
          <cell r="AF10"/>
          <cell r="AG10"/>
          <cell r="AH10" t="str">
            <v>NEW BUILD</v>
          </cell>
          <cell r="AI10" t="str">
            <v>STIP 1</v>
          </cell>
          <cell r="AJ10" t="str">
            <v>TB</v>
          </cell>
          <cell r="AK10" t="str">
            <v>B</v>
          </cell>
          <cell r="AL10">
            <v>106.26248</v>
          </cell>
          <cell r="AM10">
            <v>-6.1526899999999998</v>
          </cell>
          <cell r="AN10" t="str">
            <v>Kp. Kerjani, RT.3/2, Desa Cisait, Kec. Krgilan, Kab.Serang</v>
          </cell>
          <cell r="AO10" t="str">
            <v>42 m</v>
          </cell>
          <cell r="AP10" t="str">
            <v>BANTEN</v>
          </cell>
        </row>
        <row r="11">
          <cell r="A11"/>
          <cell r="B11">
            <v>230579960231</v>
          </cell>
          <cell r="C11">
            <v>1261321023</v>
          </cell>
          <cell r="D11" t="str">
            <v>ZBGR_4653</v>
          </cell>
          <cell r="E11" t="str">
            <v>PARIGI MEKAR CISEENG</v>
          </cell>
          <cell r="F11">
            <v>43872</v>
          </cell>
          <cell r="G11" t="str">
            <v>FEB 2020</v>
          </cell>
          <cell r="H11">
            <v>316</v>
          </cell>
          <cell r="I11" t="str">
            <v>JABODETABEK (OUTER)</v>
          </cell>
          <cell r="J11" t="str">
            <v>BOGOR</v>
          </cell>
          <cell r="K11" t="str">
            <v>SMARTFREN</v>
          </cell>
          <cell r="L11" t="str">
            <v>-</v>
          </cell>
          <cell r="M11"/>
          <cell r="N11"/>
          <cell r="O11"/>
          <cell r="P11"/>
          <cell r="Q11"/>
          <cell r="R11" t="str">
            <v>BNP</v>
          </cell>
          <cell r="S11" t="str">
            <v>Aditya Rachaman</v>
          </cell>
          <cell r="T11"/>
          <cell r="U11" t="str">
            <v>PRE SITAC</v>
          </cell>
          <cell r="V11" t="str">
            <v>03. Review RNP</v>
          </cell>
          <cell r="W11"/>
          <cell r="X11"/>
          <cell r="Y11"/>
          <cell r="Z11" t="e">
            <v>#N/A</v>
          </cell>
          <cell r="AA11" t="str">
            <v>Hunting kandidat A, Geser 320m Outcell Kominfo, Validasi Kand A dan B , Priority kand B  BAN 15jt,potensi IW 90%</v>
          </cell>
          <cell r="AB11" t="str">
            <v>Submit kandidat A &amp; JR 24 Feb 2020</v>
          </cell>
          <cell r="AC11"/>
          <cell r="AD11"/>
          <cell r="AE11"/>
          <cell r="AF11"/>
          <cell r="AG11"/>
          <cell r="AH11"/>
          <cell r="AI11"/>
          <cell r="AJ11"/>
          <cell r="AK11"/>
          <cell r="AL11"/>
          <cell r="AM11"/>
          <cell r="AN11"/>
          <cell r="AO11"/>
          <cell r="AP11"/>
        </row>
        <row r="12">
          <cell r="A12"/>
          <cell r="B12">
            <v>230580770231</v>
          </cell>
          <cell r="C12">
            <v>1318001023</v>
          </cell>
          <cell r="D12" t="str">
            <v>ZJKT2_5925</v>
          </cell>
          <cell r="E12" t="str">
            <v>SUKADALEM WARINGINKURUNG</v>
          </cell>
          <cell r="F12">
            <v>43872</v>
          </cell>
          <cell r="G12" t="str">
            <v>FEB 2020</v>
          </cell>
          <cell r="H12">
            <v>316</v>
          </cell>
          <cell r="I12" t="str">
            <v>JABODETABEK (OUTER)</v>
          </cell>
          <cell r="J12" t="str">
            <v>SERANG</v>
          </cell>
          <cell r="K12" t="str">
            <v>SMARTFREN</v>
          </cell>
          <cell r="L12" t="str">
            <v>-</v>
          </cell>
          <cell r="M12"/>
          <cell r="N12"/>
          <cell r="O12"/>
          <cell r="P12"/>
          <cell r="Q12"/>
          <cell r="R12" t="str">
            <v>BNP</v>
          </cell>
          <cell r="S12" t="str">
            <v>Aditya Rachaman</v>
          </cell>
          <cell r="T12"/>
          <cell r="U12" t="str">
            <v>PRE SITAC</v>
          </cell>
          <cell r="V12" t="str">
            <v>03. Review RNP</v>
          </cell>
          <cell r="W12"/>
          <cell r="X12"/>
          <cell r="Y12"/>
          <cell r="Z12" t="e">
            <v>#N/A</v>
          </cell>
          <cell r="AA12" t="str">
            <v xml:space="preserve">Candidat B,BAN 15jt/thn,potensi IW 90%9,Proses validasi
Radius 1km, lahan milik tomi soeharto, potensi kandidat &gt;1km, </v>
          </cell>
          <cell r="AB12" t="str">
            <v xml:space="preserve">Hunting kandidat out SAR with JR, 25 Feb 2020 </v>
          </cell>
          <cell r="AC12"/>
          <cell r="AD12"/>
          <cell r="AE12"/>
          <cell r="AF12"/>
          <cell r="AG12"/>
          <cell r="AH12"/>
          <cell r="AI12"/>
          <cell r="AJ12"/>
          <cell r="AK12"/>
          <cell r="AL12"/>
          <cell r="AM12"/>
          <cell r="AN12"/>
          <cell r="AO12"/>
          <cell r="AP12"/>
        </row>
        <row r="13">
          <cell r="A13" t="str">
            <v>JAW-JK-KYB-0103</v>
          </cell>
          <cell r="B13">
            <v>30573400031</v>
          </cell>
          <cell r="C13">
            <v>1127901003</v>
          </cell>
          <cell r="D13" t="str">
            <v>JAW-JK-KYB-0103</v>
          </cell>
          <cell r="E13" t="str">
            <v>Benda Ciganjur</v>
          </cell>
          <cell r="F13">
            <v>43846</v>
          </cell>
          <cell r="G13" t="str">
            <v>JAN 2020</v>
          </cell>
          <cell r="H13">
            <v>342</v>
          </cell>
          <cell r="I13" t="str">
            <v>JABODETABEK (INNER)</v>
          </cell>
          <cell r="J13" t="str">
            <v>JAKARTA SELATAN</v>
          </cell>
          <cell r="K13" t="str">
            <v>XL</v>
          </cell>
          <cell r="L13" t="str">
            <v>-</v>
          </cell>
          <cell r="M13"/>
          <cell r="N13"/>
          <cell r="O13"/>
          <cell r="P13"/>
          <cell r="Q13"/>
          <cell r="R13" t="str">
            <v>KLS</v>
          </cell>
          <cell r="S13" t="str">
            <v>Aditya Rachaman</v>
          </cell>
          <cell r="T13"/>
          <cell r="U13" t="str">
            <v>RFC</v>
          </cell>
          <cell r="V13" t="str">
            <v>12. RFC</v>
          </cell>
          <cell r="W13"/>
          <cell r="X13"/>
          <cell r="Y13"/>
          <cell r="Z13" t="e">
            <v>#N/A</v>
          </cell>
          <cell r="AA13" t="str">
            <v>RFC Done</v>
          </cell>
          <cell r="AB13" t="str">
            <v>RFC Done</v>
          </cell>
          <cell r="AC13"/>
          <cell r="AD13"/>
          <cell r="AE13"/>
          <cell r="AF13"/>
          <cell r="AG13"/>
          <cell r="AH13" t="str">
            <v>MCP</v>
          </cell>
          <cell r="AI13" t="str">
            <v>STIP 1</v>
          </cell>
          <cell r="AJ13" t="str">
            <v>TB</v>
          </cell>
          <cell r="AK13" t="str">
            <v>D</v>
          </cell>
          <cell r="AL13">
            <v>106.8061</v>
          </cell>
          <cell r="AM13">
            <v>-6.3256699999999997</v>
          </cell>
          <cell r="AN13" t="str">
            <v>Jl. Manggis Dalam No. 1 RT. 01 RW. 01 Kel. Ciganjur Kec. Jagakarsa</v>
          </cell>
          <cell r="AO13" t="str">
            <v>20m</v>
          </cell>
          <cell r="AP13" t="str">
            <v>DKI Jakarta</v>
          </cell>
        </row>
        <row r="14">
          <cell r="A14"/>
          <cell r="B14">
            <v>230580080231</v>
          </cell>
          <cell r="C14">
            <v>1317951023</v>
          </cell>
          <cell r="D14" t="str">
            <v>ZJKT2_5897</v>
          </cell>
          <cell r="E14" t="str">
            <v>BOJONG NANGKA BANTEN</v>
          </cell>
          <cell r="F14">
            <v>43872</v>
          </cell>
          <cell r="G14" t="str">
            <v>FEB 2020</v>
          </cell>
          <cell r="H14">
            <v>316</v>
          </cell>
          <cell r="I14" t="str">
            <v>JABODETABEK (OUTER)</v>
          </cell>
          <cell r="J14" t="str">
            <v>TANGERANG</v>
          </cell>
          <cell r="K14" t="str">
            <v>SMARTFREN</v>
          </cell>
          <cell r="L14" t="str">
            <v>-</v>
          </cell>
          <cell r="M14"/>
          <cell r="N14"/>
          <cell r="O14"/>
          <cell r="P14"/>
          <cell r="Q14"/>
          <cell r="R14" t="str">
            <v>MIT</v>
          </cell>
          <cell r="S14" t="str">
            <v>Handri Purnama</v>
          </cell>
          <cell r="T14"/>
          <cell r="U14" t="str">
            <v>PRE SITAC</v>
          </cell>
          <cell r="V14" t="str">
            <v>01. Hunting</v>
          </cell>
          <cell r="W14"/>
          <cell r="X14"/>
          <cell r="Y14"/>
          <cell r="Z14" t="e">
            <v>#N/A</v>
          </cell>
          <cell r="AA14" t="str">
            <v>Submit JR Kand A 20/02, BAN 20jt, potensi IW clear</v>
          </cell>
          <cell r="AB14" t="str">
            <v>Validasi kandidat A, need JR</v>
          </cell>
          <cell r="AC14" t="str">
            <v>-</v>
          </cell>
          <cell r="AD14" t="str">
            <v>-</v>
          </cell>
          <cell r="AE14"/>
          <cell r="AF14"/>
          <cell r="AG14"/>
          <cell r="AH14"/>
          <cell r="AI14"/>
          <cell r="AJ14"/>
          <cell r="AK14"/>
          <cell r="AL14"/>
          <cell r="AM14"/>
          <cell r="AN14"/>
          <cell r="AO14"/>
          <cell r="AP14"/>
        </row>
        <row r="15">
          <cell r="A15"/>
          <cell r="B15">
            <v>230579640231</v>
          </cell>
          <cell r="C15">
            <v>1317941023</v>
          </cell>
          <cell r="D15" t="str">
            <v>ZJKT2_5936</v>
          </cell>
          <cell r="E15" t="str">
            <v>MEKAR BAKTI PANONGAN</v>
          </cell>
          <cell r="F15">
            <v>43871</v>
          </cell>
          <cell r="G15" t="str">
            <v>FEB 2020</v>
          </cell>
          <cell r="H15">
            <v>317</v>
          </cell>
          <cell r="I15" t="str">
            <v>JABODETABEK (OUTER)</v>
          </cell>
          <cell r="J15" t="str">
            <v>TANGERANG</v>
          </cell>
          <cell r="K15" t="str">
            <v>SMARTFREN</v>
          </cell>
          <cell r="L15" t="str">
            <v>-</v>
          </cell>
          <cell r="M15"/>
          <cell r="N15"/>
          <cell r="O15"/>
          <cell r="P15"/>
          <cell r="Q15"/>
          <cell r="R15" t="str">
            <v>MIT</v>
          </cell>
          <cell r="S15" t="str">
            <v>Handri Purnama</v>
          </cell>
          <cell r="T15"/>
          <cell r="U15" t="str">
            <v>PRE SITAC</v>
          </cell>
          <cell r="V15" t="str">
            <v>03. Review RNP</v>
          </cell>
          <cell r="W15"/>
          <cell r="X15"/>
          <cell r="Y15"/>
          <cell r="Z15" t="e">
            <v>#N/A</v>
          </cell>
          <cell r="AA15" t="str">
            <v>Submit JR Kand A 20/02, BAN 20jt, potensi IW 80%</v>
          </cell>
          <cell r="AB15" t="str">
            <v>Waiting Validasi kandidat A &amp; JR</v>
          </cell>
          <cell r="AC15" t="str">
            <v>-</v>
          </cell>
          <cell r="AD15" t="str">
            <v>-</v>
          </cell>
          <cell r="AE15"/>
          <cell r="AF15"/>
          <cell r="AG15"/>
          <cell r="AH15"/>
          <cell r="AI15"/>
          <cell r="AJ15"/>
          <cell r="AK15"/>
          <cell r="AL15"/>
          <cell r="AM15"/>
          <cell r="AN15"/>
          <cell r="AO15"/>
          <cell r="AP15"/>
        </row>
        <row r="16">
          <cell r="A16" t="str">
            <v>JAW-JK-GGP-0515</v>
          </cell>
          <cell r="B16">
            <v>30573650031</v>
          </cell>
          <cell r="C16">
            <v>1127971003</v>
          </cell>
          <cell r="D16" t="str">
            <v>JAW-JK-GGP-0515</v>
          </cell>
          <cell r="E16" t="str">
            <v>Kayumanis Kelapa Dua</v>
          </cell>
          <cell r="F16">
            <v>43847</v>
          </cell>
          <cell r="G16" t="str">
            <v>JAN 2020</v>
          </cell>
          <cell r="H16">
            <v>341</v>
          </cell>
          <cell r="I16" t="str">
            <v>JABODETABEK (INNER)</v>
          </cell>
          <cell r="J16" t="str">
            <v>JAKARTA BARAT</v>
          </cell>
          <cell r="K16" t="str">
            <v>XL</v>
          </cell>
          <cell r="L16" t="str">
            <v>-</v>
          </cell>
          <cell r="M16" t="str">
            <v>A</v>
          </cell>
          <cell r="N16"/>
          <cell r="O16"/>
          <cell r="P16"/>
          <cell r="Q16"/>
          <cell r="R16" t="str">
            <v>KLS</v>
          </cell>
          <cell r="S16" t="str">
            <v>Aditya Rachaman</v>
          </cell>
          <cell r="T16"/>
          <cell r="U16" t="str">
            <v>RFC</v>
          </cell>
          <cell r="V16" t="str">
            <v>12. RFC</v>
          </cell>
          <cell r="W16"/>
          <cell r="X16"/>
          <cell r="Y16"/>
          <cell r="Z16" t="e">
            <v>#N/A</v>
          </cell>
          <cell r="AA16" t="str">
            <v>RFC Done</v>
          </cell>
          <cell r="AB16" t="str">
            <v>RFC Done</v>
          </cell>
          <cell r="AC16"/>
          <cell r="AD16"/>
          <cell r="AE16"/>
          <cell r="AF16"/>
          <cell r="AG16"/>
          <cell r="AH16"/>
          <cell r="AI16"/>
          <cell r="AJ16"/>
          <cell r="AK16"/>
          <cell r="AL16"/>
          <cell r="AM16"/>
          <cell r="AN16"/>
          <cell r="AO16"/>
          <cell r="AP16"/>
        </row>
        <row r="17">
          <cell r="A17" t="str">
            <v>JAW-BT-TGR-0044</v>
          </cell>
          <cell r="B17">
            <v>30572540031</v>
          </cell>
          <cell r="C17">
            <v>1317731003</v>
          </cell>
          <cell r="D17" t="str">
            <v>JAW-BT-TGR-0044</v>
          </cell>
          <cell r="E17" t="str">
            <v>PANTAI DADAP</v>
          </cell>
          <cell r="F17">
            <v>43844</v>
          </cell>
          <cell r="G17" t="str">
            <v>JAN 2020</v>
          </cell>
          <cell r="H17">
            <v>344</v>
          </cell>
          <cell r="I17" t="str">
            <v>JABODETABEK (OUTER)</v>
          </cell>
          <cell r="J17" t="str">
            <v>TANGERANG</v>
          </cell>
          <cell r="K17" t="str">
            <v>XL</v>
          </cell>
          <cell r="L17" t="str">
            <v>-</v>
          </cell>
          <cell r="M17"/>
          <cell r="N17"/>
          <cell r="O17">
            <v>-6089365</v>
          </cell>
          <cell r="P17"/>
          <cell r="Q17">
            <v>106713751</v>
          </cell>
          <cell r="R17" t="str">
            <v>NY MITRA</v>
          </cell>
          <cell r="S17"/>
          <cell r="T17"/>
          <cell r="U17" t="str">
            <v>RFC</v>
          </cell>
          <cell r="V17" t="str">
            <v>12. RFC</v>
          </cell>
          <cell r="W17"/>
          <cell r="X17"/>
          <cell r="Y17"/>
          <cell r="Z17" t="e">
            <v>#N/A</v>
          </cell>
          <cell r="AA17" t="str">
            <v>RFC Done</v>
          </cell>
          <cell r="AB17" t="str">
            <v>RFC Done</v>
          </cell>
          <cell r="AC17"/>
          <cell r="AD17"/>
          <cell r="AE17"/>
          <cell r="AF17"/>
          <cell r="AG17"/>
          <cell r="AH17" t="str">
            <v>NEW BUILD</v>
          </cell>
          <cell r="AI17" t="str">
            <v>STIP 1</v>
          </cell>
          <cell r="AJ17" t="str">
            <v>TB</v>
          </cell>
          <cell r="AK17" t="str">
            <v>C</v>
          </cell>
          <cell r="AL17">
            <v>106.72031</v>
          </cell>
          <cell r="AM17">
            <v>-6.0887599999999997</v>
          </cell>
          <cell r="AN17" t="str">
            <v>Jl. Lokator RT. 03 RW. 01 Kel. Dadap, Kab. Tangerang</v>
          </cell>
          <cell r="AO17" t="str">
            <v>SST 52m</v>
          </cell>
          <cell r="AP17" t="str">
            <v>BANTEN</v>
          </cell>
        </row>
        <row r="18">
          <cell r="A18"/>
          <cell r="B18">
            <v>230580030231</v>
          </cell>
          <cell r="C18">
            <v>1261391023</v>
          </cell>
          <cell r="D18" t="str">
            <v>ZJKT2_5904</v>
          </cell>
          <cell r="E18" t="str">
            <v>BABELAN BEKASI</v>
          </cell>
          <cell r="F18">
            <v>43872</v>
          </cell>
          <cell r="G18" t="str">
            <v>FEB 2020</v>
          </cell>
          <cell r="H18">
            <v>316</v>
          </cell>
          <cell r="I18" t="str">
            <v>JABODETABEK (OUTER)</v>
          </cell>
          <cell r="J18" t="str">
            <v>BEKASI</v>
          </cell>
          <cell r="K18" t="str">
            <v>SMARTFREN</v>
          </cell>
          <cell r="L18" t="str">
            <v>-</v>
          </cell>
          <cell r="M18"/>
          <cell r="N18" t="e">
            <v>#REF!</v>
          </cell>
          <cell r="O18"/>
          <cell r="P18" t="e">
            <v>#REF!</v>
          </cell>
          <cell r="Q18"/>
          <cell r="R18" t="str">
            <v>DATATEL</v>
          </cell>
          <cell r="S18" t="str">
            <v>Handri Purnama</v>
          </cell>
          <cell r="T18"/>
          <cell r="U18" t="str">
            <v>SITAC</v>
          </cell>
          <cell r="V18" t="str">
            <v>05. BAN/BAK</v>
          </cell>
          <cell r="W18"/>
          <cell r="X18"/>
          <cell r="Y18"/>
          <cell r="Z18" t="str">
            <v>OK, 25m</v>
          </cell>
          <cell r="AA18" t="str">
            <v>06.03 : Site OK RF need 25, Proses BAN dan IW
Validasi Kand A, BAN Suubmit tgl 10 mart Pararel IW 
Hunting Kand A</v>
          </cell>
          <cell r="AB18"/>
          <cell r="AC18"/>
          <cell r="AD18"/>
          <cell r="AE18"/>
          <cell r="AF18"/>
          <cell r="AG18"/>
          <cell r="AH18"/>
          <cell r="AI18"/>
          <cell r="AJ18"/>
          <cell r="AK18" t="str">
            <v>A</v>
          </cell>
          <cell r="AL18">
            <v>107.00964</v>
          </cell>
          <cell r="AM18">
            <v>-6.17638</v>
          </cell>
          <cell r="AN18"/>
          <cell r="AO18" t="str">
            <v>MCP 25</v>
          </cell>
          <cell r="AP18"/>
        </row>
        <row r="19">
          <cell r="A19"/>
          <cell r="B19">
            <v>230579410231</v>
          </cell>
          <cell r="C19">
            <v>1261141023</v>
          </cell>
          <cell r="D19" t="str">
            <v>ZJKT2_6061</v>
          </cell>
          <cell r="E19" t="str">
            <v>CIBATU CIKARANG SELATAN</v>
          </cell>
          <cell r="F19">
            <v>43871</v>
          </cell>
          <cell r="G19" t="str">
            <v>FEB 2020</v>
          </cell>
          <cell r="H19">
            <v>317</v>
          </cell>
          <cell r="I19" t="str">
            <v>JABODETABEK (OUTER)</v>
          </cell>
          <cell r="J19" t="str">
            <v>BEKASI</v>
          </cell>
          <cell r="K19" t="str">
            <v>SMARTFREN</v>
          </cell>
          <cell r="L19" t="str">
            <v>-</v>
          </cell>
          <cell r="M19"/>
          <cell r="N19"/>
          <cell r="O19"/>
          <cell r="P19"/>
          <cell r="Q19"/>
          <cell r="R19" t="str">
            <v>Orlie</v>
          </cell>
          <cell r="S19" t="str">
            <v>Handri Purnama</v>
          </cell>
          <cell r="T19"/>
          <cell r="U19" t="str">
            <v>PRE SITAC</v>
          </cell>
          <cell r="V19" t="str">
            <v>01. Hunting</v>
          </cell>
          <cell r="W19"/>
          <cell r="X19" t="str">
            <v>W2 April</v>
          </cell>
          <cell r="Y19"/>
          <cell r="Z19" t="e">
            <v>#N/A</v>
          </cell>
          <cell r="AA19" t="str">
            <v>Hunting Kand A, 9 Maret submit kandidat</v>
          </cell>
          <cell r="AB19"/>
          <cell r="AC19"/>
          <cell r="AD19"/>
          <cell r="AE19"/>
          <cell r="AF19"/>
          <cell r="AG19"/>
          <cell r="AH19"/>
          <cell r="AI19"/>
          <cell r="AJ19"/>
          <cell r="AK19"/>
          <cell r="AL19"/>
          <cell r="AM19"/>
          <cell r="AN19"/>
          <cell r="AO19"/>
          <cell r="AP19"/>
        </row>
        <row r="20">
          <cell r="A20"/>
          <cell r="B20">
            <v>230579450231</v>
          </cell>
          <cell r="C20">
            <v>1261161023</v>
          </cell>
          <cell r="D20" t="str">
            <v>ZJKT2_6053</v>
          </cell>
          <cell r="E20" t="str">
            <v>CIKEDOKAN CIKARANG BARAT</v>
          </cell>
          <cell r="F20">
            <v>43871</v>
          </cell>
          <cell r="G20" t="str">
            <v>FEB 2020</v>
          </cell>
          <cell r="H20">
            <v>317</v>
          </cell>
          <cell r="I20" t="str">
            <v>JABODETABEK (OUTER)</v>
          </cell>
          <cell r="J20" t="str">
            <v>BEKASI</v>
          </cell>
          <cell r="K20" t="str">
            <v>SMARTFREN</v>
          </cell>
          <cell r="L20" t="str">
            <v>-</v>
          </cell>
          <cell r="M20"/>
          <cell r="N20"/>
          <cell r="O20"/>
          <cell r="P20"/>
          <cell r="Q20"/>
          <cell r="R20" t="str">
            <v>Orlie</v>
          </cell>
          <cell r="S20" t="str">
            <v>Handri Purnama</v>
          </cell>
          <cell r="T20"/>
          <cell r="U20" t="str">
            <v>SITAC</v>
          </cell>
          <cell r="V20" t="str">
            <v>05. BAN/BAK</v>
          </cell>
          <cell r="W20"/>
          <cell r="X20" t="str">
            <v>W2 April</v>
          </cell>
          <cell r="Y20"/>
          <cell r="Z20" t="str">
            <v>OK, 30m</v>
          </cell>
          <cell r="AA20" t="str">
            <v>Hasil Validasi OK, 30m
Validasi Kand A</v>
          </cell>
          <cell r="AB20"/>
          <cell r="AC20"/>
          <cell r="AD20"/>
          <cell r="AE20"/>
          <cell r="AF20"/>
          <cell r="AG20"/>
          <cell r="AH20"/>
          <cell r="AI20"/>
          <cell r="AJ20"/>
          <cell r="AK20" t="str">
            <v>A</v>
          </cell>
          <cell r="AL20">
            <v>107.07646</v>
          </cell>
          <cell r="AM20">
            <v>-6.3293600000000003</v>
          </cell>
          <cell r="AN20"/>
          <cell r="AO20"/>
          <cell r="AP20"/>
        </row>
        <row r="21">
          <cell r="A21"/>
          <cell r="B21">
            <v>230579480231</v>
          </cell>
          <cell r="C21">
            <v>1261171023</v>
          </cell>
          <cell r="D21" t="str">
            <v>ZJKT2_6052</v>
          </cell>
          <cell r="E21" t="str">
            <v>GANDAMEKAR CIKARANG BARAT</v>
          </cell>
          <cell r="F21">
            <v>43871</v>
          </cell>
          <cell r="G21" t="str">
            <v>FEB 2020</v>
          </cell>
          <cell r="H21">
            <v>317</v>
          </cell>
          <cell r="I21" t="str">
            <v>JABODETABEK (OUTER)</v>
          </cell>
          <cell r="J21" t="str">
            <v>BEKASI</v>
          </cell>
          <cell r="K21" t="str">
            <v>SMARTFREN</v>
          </cell>
          <cell r="L21" t="str">
            <v>-</v>
          </cell>
          <cell r="M21"/>
          <cell r="N21"/>
          <cell r="O21"/>
          <cell r="P21"/>
          <cell r="Q21"/>
          <cell r="R21" t="str">
            <v>Orlie</v>
          </cell>
          <cell r="S21" t="str">
            <v>Handri Purnama</v>
          </cell>
          <cell r="T21"/>
          <cell r="U21" t="str">
            <v>PRE SITAC</v>
          </cell>
          <cell r="V21" t="str">
            <v>01. Hunting</v>
          </cell>
          <cell r="W21"/>
          <cell r="X21" t="str">
            <v>W2 April</v>
          </cell>
          <cell r="Y21"/>
          <cell r="Z21" t="e">
            <v>#N/A</v>
          </cell>
          <cell r="AA21" t="str">
            <v>Kawasan Industri M2000, Proses Hunting Outsar Need JR 500m need JR 9 maret</v>
          </cell>
          <cell r="AB21"/>
          <cell r="AC21"/>
          <cell r="AD21"/>
          <cell r="AE21"/>
          <cell r="AF21"/>
          <cell r="AG21"/>
          <cell r="AH21"/>
          <cell r="AI21"/>
          <cell r="AJ21"/>
          <cell r="AK21"/>
          <cell r="AL21"/>
          <cell r="AM21"/>
          <cell r="AN21"/>
          <cell r="AO21"/>
          <cell r="AP21"/>
        </row>
        <row r="22">
          <cell r="A22"/>
          <cell r="B22">
            <v>230580000231</v>
          </cell>
          <cell r="C22">
            <v>1261361023</v>
          </cell>
          <cell r="D22" t="str">
            <v>ZJKT2_5917</v>
          </cell>
          <cell r="E22" t="str">
            <v>KEDUNGJAYA BABELAN</v>
          </cell>
          <cell r="F22">
            <v>43872</v>
          </cell>
          <cell r="G22" t="str">
            <v>FEB 2020</v>
          </cell>
          <cell r="H22">
            <v>316</v>
          </cell>
          <cell r="I22" t="str">
            <v>JABODETABEK (OUTER)</v>
          </cell>
          <cell r="J22" t="str">
            <v>BEKASI</v>
          </cell>
          <cell r="K22" t="str">
            <v>SMARTFREN</v>
          </cell>
          <cell r="L22" t="str">
            <v>-</v>
          </cell>
          <cell r="M22"/>
          <cell r="N22" t="e">
            <v>#REF!</v>
          </cell>
          <cell r="O22"/>
          <cell r="P22" t="e">
            <v>#REF!</v>
          </cell>
          <cell r="Q22"/>
          <cell r="R22" t="str">
            <v>DATATEL</v>
          </cell>
          <cell r="S22" t="str">
            <v>Handri Purnama</v>
          </cell>
          <cell r="T22"/>
          <cell r="U22" t="str">
            <v>SITAC</v>
          </cell>
          <cell r="V22" t="str">
            <v>05. BAN/BAK</v>
          </cell>
          <cell r="W22"/>
          <cell r="X22"/>
          <cell r="Y22"/>
          <cell r="Z22" t="str">
            <v>OK, 30m</v>
          </cell>
          <cell r="AA22" t="str">
            <v>Hasil Validasi OK, 30m</v>
          </cell>
          <cell r="AB22"/>
          <cell r="AC22"/>
          <cell r="AD22"/>
          <cell r="AE22"/>
          <cell r="AF22"/>
          <cell r="AG22"/>
          <cell r="AH22"/>
          <cell r="AI22"/>
          <cell r="AJ22"/>
          <cell r="AK22" t="str">
            <v>A</v>
          </cell>
          <cell r="AL22">
            <v>107.03915000000001</v>
          </cell>
          <cell r="AM22">
            <v>-6.1576000000000004</v>
          </cell>
          <cell r="AN22"/>
          <cell r="AO22" t="str">
            <v>SST 32</v>
          </cell>
          <cell r="AP22"/>
        </row>
        <row r="23">
          <cell r="A23"/>
          <cell r="B23">
            <v>230579620231</v>
          </cell>
          <cell r="C23">
            <v>1261241023</v>
          </cell>
          <cell r="D23" t="str">
            <v>ZJKT2_5953</v>
          </cell>
          <cell r="E23" t="str">
            <v>PAHLAWAN SETIA TARUMAJAYA</v>
          </cell>
          <cell r="F23">
            <v>43871</v>
          </cell>
          <cell r="G23" t="str">
            <v>FEB 2020</v>
          </cell>
          <cell r="H23">
            <v>317</v>
          </cell>
          <cell r="I23" t="str">
            <v>JABODETABEK (OUTER)</v>
          </cell>
          <cell r="J23" t="str">
            <v>BEKASI</v>
          </cell>
          <cell r="K23" t="str">
            <v>SMARTFREN</v>
          </cell>
          <cell r="L23" t="str">
            <v>-</v>
          </cell>
          <cell r="M23"/>
          <cell r="N23" t="str">
            <v>107.01</v>
          </cell>
          <cell r="O23">
            <v>-6.1300699999999999</v>
          </cell>
          <cell r="P23">
            <v>0</v>
          </cell>
          <cell r="Q23">
            <v>107.01</v>
          </cell>
          <cell r="R23" t="str">
            <v>NY MITRA</v>
          </cell>
          <cell r="S23"/>
          <cell r="T23"/>
          <cell r="U23" t="str">
            <v>PRE SITAC</v>
          </cell>
          <cell r="V23" t="str">
            <v>01. Hunting</v>
          </cell>
          <cell r="W23"/>
          <cell r="X23"/>
          <cell r="Y23"/>
          <cell r="Z23" t="e">
            <v>#N/A</v>
          </cell>
          <cell r="AA23"/>
          <cell r="AB23"/>
          <cell r="AC23"/>
          <cell r="AD23"/>
          <cell r="AE23"/>
          <cell r="AF23"/>
          <cell r="AG23"/>
          <cell r="AH23"/>
          <cell r="AI23"/>
          <cell r="AJ23"/>
          <cell r="AK23"/>
          <cell r="AL23"/>
          <cell r="AM23"/>
          <cell r="AN23"/>
          <cell r="AO23"/>
          <cell r="AP23"/>
        </row>
        <row r="24">
          <cell r="A24"/>
          <cell r="B24">
            <v>230580010231</v>
          </cell>
          <cell r="C24">
            <v>1261371023</v>
          </cell>
          <cell r="D24" t="str">
            <v>ZJKT2_5913</v>
          </cell>
          <cell r="E24" t="str">
            <v>KEBALEN BABELAN</v>
          </cell>
          <cell r="F24">
            <v>43872</v>
          </cell>
          <cell r="G24" t="str">
            <v>FEB 2020</v>
          </cell>
          <cell r="H24">
            <v>316</v>
          </cell>
          <cell r="I24" t="str">
            <v>JABODETABEK (OUTER)</v>
          </cell>
          <cell r="J24" t="str">
            <v>BEKASI</v>
          </cell>
          <cell r="K24" t="str">
            <v>SMARTFREN</v>
          </cell>
          <cell r="L24" t="str">
            <v>-</v>
          </cell>
          <cell r="M24"/>
          <cell r="N24"/>
          <cell r="O24">
            <v>-6.1939399999999996</v>
          </cell>
          <cell r="P24"/>
          <cell r="Q24">
            <v>107.036025</v>
          </cell>
          <cell r="R24" t="str">
            <v>NY MITRA</v>
          </cell>
          <cell r="S24"/>
          <cell r="T24"/>
          <cell r="U24" t="str">
            <v>PRE SITAC</v>
          </cell>
          <cell r="V24" t="str">
            <v>03. Review RNP</v>
          </cell>
          <cell r="W24"/>
          <cell r="X24"/>
          <cell r="Y24"/>
          <cell r="Z24" t="e">
            <v>#N/A</v>
          </cell>
          <cell r="AA24" t="str">
            <v>Proses Validasi kand A</v>
          </cell>
          <cell r="AB24"/>
          <cell r="AC24"/>
          <cell r="AD24"/>
          <cell r="AE24"/>
          <cell r="AF24"/>
          <cell r="AG24"/>
          <cell r="AH24"/>
          <cell r="AI24"/>
          <cell r="AJ24"/>
          <cell r="AK24" t="str">
            <v>A</v>
          </cell>
          <cell r="AL24">
            <v>107.03382999999999</v>
          </cell>
          <cell r="AM24">
            <v>-6.1970200000000002</v>
          </cell>
          <cell r="AN24"/>
          <cell r="AO24"/>
          <cell r="AP24"/>
        </row>
        <row r="25">
          <cell r="A25"/>
          <cell r="B25">
            <v>230580060231</v>
          </cell>
          <cell r="C25">
            <v>1261401023</v>
          </cell>
          <cell r="D25" t="str">
            <v>ZJKT2_5902</v>
          </cell>
          <cell r="E25" t="str">
            <v>KEBALEN BEKASI</v>
          </cell>
          <cell r="F25">
            <v>43872</v>
          </cell>
          <cell r="G25" t="str">
            <v>FEB 2020</v>
          </cell>
          <cell r="H25">
            <v>316</v>
          </cell>
          <cell r="I25" t="str">
            <v>JABODETABEK (OUTER)</v>
          </cell>
          <cell r="J25" t="str">
            <v>BEKASI</v>
          </cell>
          <cell r="K25" t="str">
            <v>SMARTFREN</v>
          </cell>
          <cell r="L25" t="str">
            <v>-</v>
          </cell>
          <cell r="M25"/>
          <cell r="N25" t="e">
            <v>#REF!</v>
          </cell>
          <cell r="O25"/>
          <cell r="P25" t="e">
            <v>#REF!</v>
          </cell>
          <cell r="Q25"/>
          <cell r="R25" t="str">
            <v>DATATEL</v>
          </cell>
          <cell r="S25" t="str">
            <v>Handri Purnama</v>
          </cell>
          <cell r="T25"/>
          <cell r="U25" t="str">
            <v>SITAC</v>
          </cell>
          <cell r="V25" t="str">
            <v>05. BAN/BAK</v>
          </cell>
          <cell r="W25"/>
          <cell r="X25"/>
          <cell r="Y25"/>
          <cell r="Z25" t="str">
            <v>OK, 30m</v>
          </cell>
          <cell r="AA25" t="str">
            <v>06.03 : RF need 30, proses paralel IW dan BAN
Proses Validasi kand A</v>
          </cell>
          <cell r="AB25"/>
          <cell r="AC25"/>
          <cell r="AD25"/>
          <cell r="AE25"/>
          <cell r="AF25"/>
          <cell r="AG25"/>
          <cell r="AH25"/>
          <cell r="AI25"/>
          <cell r="AJ25"/>
          <cell r="AK25" t="str">
            <v>A</v>
          </cell>
          <cell r="AL25">
            <v>107.03382999999999</v>
          </cell>
          <cell r="AM25">
            <v>-6.1970200000000002</v>
          </cell>
          <cell r="AN25"/>
          <cell r="AO25" t="str">
            <v>SST 32</v>
          </cell>
          <cell r="AP25"/>
        </row>
        <row r="26">
          <cell r="A26" t="str">
            <v>JAW-JK-KYB-0027</v>
          </cell>
          <cell r="B26">
            <v>30571980031</v>
          </cell>
          <cell r="C26">
            <v>1127761003</v>
          </cell>
          <cell r="D26" t="str">
            <v>JAW-JK-KYB-0027</v>
          </cell>
          <cell r="E26" t="str">
            <v>Sabar Raya Kemajuan</v>
          </cell>
          <cell r="F26">
            <v>43844</v>
          </cell>
          <cell r="G26" t="str">
            <v>JAN 2020</v>
          </cell>
          <cell r="H26">
            <v>344</v>
          </cell>
          <cell r="I26" t="str">
            <v>JABODETABEK (INNER)</v>
          </cell>
          <cell r="J26" t="str">
            <v>JAKARTA SELATAN</v>
          </cell>
          <cell r="K26" t="str">
            <v>XL</v>
          </cell>
          <cell r="L26" t="str">
            <v>-</v>
          </cell>
          <cell r="M26" t="str">
            <v>A</v>
          </cell>
          <cell r="N26"/>
          <cell r="O26"/>
          <cell r="P26"/>
          <cell r="Q26"/>
          <cell r="R26" t="str">
            <v>KLS</v>
          </cell>
          <cell r="S26" t="str">
            <v>Aditya Rachaman</v>
          </cell>
          <cell r="T26"/>
          <cell r="U26" t="str">
            <v>RFC</v>
          </cell>
          <cell r="V26" t="str">
            <v>12. RFC</v>
          </cell>
          <cell r="W26"/>
          <cell r="X26"/>
          <cell r="Y26"/>
          <cell r="Z26" t="e">
            <v>#N/A</v>
          </cell>
          <cell r="AA26" t="str">
            <v>RFC Done</v>
          </cell>
          <cell r="AB26" t="str">
            <v>RFC Done</v>
          </cell>
          <cell r="AC26"/>
          <cell r="AD26"/>
          <cell r="AE26"/>
          <cell r="AF26"/>
          <cell r="AG26"/>
          <cell r="AH26" t="str">
            <v>MCP</v>
          </cell>
          <cell r="AI26" t="str">
            <v>STIP 1</v>
          </cell>
          <cell r="AJ26" t="str">
            <v>TB</v>
          </cell>
          <cell r="AK26" t="str">
            <v>C</v>
          </cell>
          <cell r="AL26" t="str">
            <v>106.75289</v>
          </cell>
          <cell r="AM26" t="str">
            <v>-6.24077</v>
          </cell>
          <cell r="AN26" t="str">
            <v>Jl Sabar II No. 43 RT. 07 RW. 04 Kel. Petukangan Selatan Kec. Pesanggrahan, Jakarta Selatan</v>
          </cell>
          <cell r="AO26" t="str">
            <v>20 m</v>
          </cell>
          <cell r="AP26" t="str">
            <v>DKI Jakarta</v>
          </cell>
        </row>
        <row r="27">
          <cell r="A27"/>
          <cell r="B27">
            <v>230579440231</v>
          </cell>
          <cell r="C27">
            <v>1261151023</v>
          </cell>
          <cell r="D27" t="str">
            <v>ZJKT2_6058</v>
          </cell>
          <cell r="E27" t="str">
            <v>PASIRSARI CIKARANG SELATAN</v>
          </cell>
          <cell r="F27">
            <v>43871</v>
          </cell>
          <cell r="G27" t="str">
            <v>FEB 2020</v>
          </cell>
          <cell r="H27">
            <v>317</v>
          </cell>
          <cell r="I27" t="str">
            <v>JABODETABEK (OUTER)</v>
          </cell>
          <cell r="J27" t="str">
            <v>BEKASI</v>
          </cell>
          <cell r="K27" t="str">
            <v>SMARTFREN</v>
          </cell>
          <cell r="L27" t="str">
            <v>-</v>
          </cell>
          <cell r="M27"/>
          <cell r="N27"/>
          <cell r="O27"/>
          <cell r="P27"/>
          <cell r="Q27"/>
          <cell r="R27" t="str">
            <v>Orlie</v>
          </cell>
          <cell r="S27" t="str">
            <v>Handri Purnama</v>
          </cell>
          <cell r="T27"/>
          <cell r="U27" t="str">
            <v>PRE SITAC</v>
          </cell>
          <cell r="V27" t="str">
            <v>03. Review RNP</v>
          </cell>
          <cell r="W27"/>
          <cell r="X27" t="str">
            <v>W2 April</v>
          </cell>
          <cell r="Y27"/>
          <cell r="Z27" t="e">
            <v>#N/A</v>
          </cell>
          <cell r="AA27" t="str">
            <v>Validasi Kand A &amp; JR</v>
          </cell>
          <cell r="AB27"/>
          <cell r="AC27"/>
          <cell r="AD27"/>
          <cell r="AE27"/>
          <cell r="AF27"/>
          <cell r="AG27"/>
          <cell r="AH27"/>
          <cell r="AI27"/>
          <cell r="AJ27"/>
          <cell r="AK27" t="str">
            <v>A</v>
          </cell>
          <cell r="AL27">
            <v>107.16369</v>
          </cell>
          <cell r="AM27">
            <v>-6.3042600000000002</v>
          </cell>
          <cell r="AN27"/>
          <cell r="AO27"/>
          <cell r="AP27"/>
        </row>
        <row r="28">
          <cell r="A28"/>
          <cell r="B28">
            <v>230579590231</v>
          </cell>
          <cell r="C28">
            <v>1261221023</v>
          </cell>
          <cell r="D28" t="str">
            <v>ZJKT2_5964</v>
          </cell>
          <cell r="E28" t="str">
            <v>MANGUNJAYA TAMBUN SELATAN</v>
          </cell>
          <cell r="F28">
            <v>43871</v>
          </cell>
          <cell r="G28" t="str">
            <v>FEB 2020</v>
          </cell>
          <cell r="H28">
            <v>317</v>
          </cell>
          <cell r="I28" t="str">
            <v>JABODETABEK (OUTER)</v>
          </cell>
          <cell r="J28" t="str">
            <v>BEKASI</v>
          </cell>
          <cell r="K28" t="str">
            <v>SMARTFREN</v>
          </cell>
          <cell r="L28" t="str">
            <v>-</v>
          </cell>
          <cell r="M28"/>
          <cell r="N28"/>
          <cell r="O28">
            <v>-6.2425499999999996</v>
          </cell>
          <cell r="P28"/>
          <cell r="Q28">
            <v>107.056</v>
          </cell>
          <cell r="R28" t="str">
            <v>NY MITRA</v>
          </cell>
          <cell r="S28"/>
          <cell r="T28"/>
          <cell r="U28" t="str">
            <v>SITAC</v>
          </cell>
          <cell r="V28" t="str">
            <v>05. BAN/BAK</v>
          </cell>
          <cell r="W28"/>
          <cell r="X28"/>
          <cell r="Y28"/>
          <cell r="Z28" t="str">
            <v>OK, 30m</v>
          </cell>
          <cell r="AA28" t="str">
            <v>Hasil Validasi OK, 30m
Proses Validasi kand A</v>
          </cell>
          <cell r="AB28"/>
          <cell r="AC28"/>
          <cell r="AD28"/>
          <cell r="AE28"/>
          <cell r="AF28"/>
          <cell r="AG28"/>
          <cell r="AH28"/>
          <cell r="AI28"/>
          <cell r="AJ28"/>
          <cell r="AK28" t="str">
            <v>A</v>
          </cell>
          <cell r="AL28">
            <v>107.05567000000001</v>
          </cell>
          <cell r="AM28">
            <v>-6.2418699999999996</v>
          </cell>
          <cell r="AN28"/>
          <cell r="AO28"/>
          <cell r="AP28"/>
        </row>
        <row r="29">
          <cell r="A29" t="str">
            <v>JAW-JK-CKG-0708</v>
          </cell>
          <cell r="B29">
            <v>30571870031</v>
          </cell>
          <cell r="C29">
            <v>1127691003</v>
          </cell>
          <cell r="D29" t="str">
            <v>JAW-JK-CKG-0708</v>
          </cell>
          <cell r="E29" t="str">
            <v>SMA 64 Cipayung</v>
          </cell>
          <cell r="F29">
            <v>43844</v>
          </cell>
          <cell r="G29" t="str">
            <v>JAN 2020</v>
          </cell>
          <cell r="H29">
            <v>344</v>
          </cell>
          <cell r="I29" t="str">
            <v>JABODETABEK (INNER)</v>
          </cell>
          <cell r="J29" t="str">
            <v>JAKARTA TIMUR</v>
          </cell>
          <cell r="K29" t="str">
            <v>XL</v>
          </cell>
          <cell r="L29" t="str">
            <v>-</v>
          </cell>
          <cell r="M29"/>
          <cell r="N29"/>
          <cell r="O29"/>
          <cell r="P29"/>
          <cell r="Q29"/>
          <cell r="R29" t="str">
            <v>KLS</v>
          </cell>
          <cell r="S29" t="str">
            <v>Aditya Rachaman</v>
          </cell>
          <cell r="T29"/>
          <cell r="U29" t="str">
            <v>Drop by OPR</v>
          </cell>
          <cell r="V29" t="str">
            <v>Drop by OPR</v>
          </cell>
          <cell r="W29"/>
          <cell r="X29"/>
          <cell r="Y29"/>
          <cell r="Z29" t="e">
            <v>#N/A</v>
          </cell>
          <cell r="AA29" t="str">
            <v>Drop By Operator</v>
          </cell>
          <cell r="AB29" t="str">
            <v>Drop By Opr</v>
          </cell>
          <cell r="AC29"/>
          <cell r="AD29"/>
          <cell r="AE29"/>
          <cell r="AF29"/>
          <cell r="AG29"/>
          <cell r="AH29"/>
          <cell r="AI29"/>
          <cell r="AJ29"/>
          <cell r="AK29"/>
          <cell r="AL29"/>
          <cell r="AM29"/>
          <cell r="AN29"/>
          <cell r="AO29"/>
          <cell r="AP29"/>
        </row>
        <row r="30">
          <cell r="A30" t="str">
            <v>JAW-JK-TJP-0622</v>
          </cell>
          <cell r="B30">
            <v>30572290031</v>
          </cell>
          <cell r="C30">
            <v>1127831003</v>
          </cell>
          <cell r="D30" t="str">
            <v>JAW-JK-TJP-0622</v>
          </cell>
          <cell r="E30" t="str">
            <v>Tol Pelabuhan Ancol</v>
          </cell>
          <cell r="F30">
            <v>43844</v>
          </cell>
          <cell r="G30" t="str">
            <v>JAN 2020</v>
          </cell>
          <cell r="H30">
            <v>344</v>
          </cell>
          <cell r="I30" t="str">
            <v>JABODETABEK (INNER)</v>
          </cell>
          <cell r="J30" t="str">
            <v>JAKARTA UTARA</v>
          </cell>
          <cell r="K30" t="str">
            <v>XL</v>
          </cell>
          <cell r="L30" t="str">
            <v>-</v>
          </cell>
          <cell r="M30" t="str">
            <v>A</v>
          </cell>
          <cell r="N30"/>
          <cell r="O30"/>
          <cell r="P30"/>
          <cell r="Q30"/>
          <cell r="R30" t="str">
            <v>KLS</v>
          </cell>
          <cell r="S30" t="str">
            <v>Aditya Rachaman</v>
          </cell>
          <cell r="T30"/>
          <cell r="U30" t="str">
            <v>RFC</v>
          </cell>
          <cell r="V30" t="str">
            <v>12. RFC</v>
          </cell>
          <cell r="W30"/>
          <cell r="X30"/>
          <cell r="Y30"/>
          <cell r="Z30" t="e">
            <v>#N/A</v>
          </cell>
          <cell r="AA30" t="str">
            <v>RFC Done</v>
          </cell>
          <cell r="AB30" t="str">
            <v>RFC Done</v>
          </cell>
          <cell r="AC30"/>
          <cell r="AD30"/>
          <cell r="AE30"/>
          <cell r="AF30"/>
          <cell r="AG30"/>
          <cell r="AH30" t="str">
            <v>MCP</v>
          </cell>
          <cell r="AI30" t="str">
            <v>STIP 1</v>
          </cell>
          <cell r="AJ30" t="str">
            <v>TB</v>
          </cell>
          <cell r="AK30" t="str">
            <v>E</v>
          </cell>
          <cell r="AL30" t="str">
            <v>106.83448</v>
          </cell>
          <cell r="AM30" t="str">
            <v>-6.13057</v>
          </cell>
          <cell r="AN30" t="str">
            <v>Jl. Budi Mulia RT. 02 RW. 12 Kel. Pademangan Barat Kec. Pademangan, Jakarta Utara</v>
          </cell>
          <cell r="AO30" t="str">
            <v>20m</v>
          </cell>
          <cell r="AP30" t="str">
            <v>DKI Jakarta</v>
          </cell>
        </row>
        <row r="31">
          <cell r="A31"/>
          <cell r="B31">
            <v>230579380231</v>
          </cell>
          <cell r="C31">
            <v>1261131023</v>
          </cell>
          <cell r="D31" t="str">
            <v>ZJKT2_6073</v>
          </cell>
          <cell r="E31" t="str">
            <v>SUKAASIH SUKATANI</v>
          </cell>
          <cell r="F31">
            <v>43871</v>
          </cell>
          <cell r="G31" t="str">
            <v>FEB 2020</v>
          </cell>
          <cell r="H31">
            <v>317</v>
          </cell>
          <cell r="I31" t="str">
            <v>JABODETABEK (OUTER)</v>
          </cell>
          <cell r="J31" t="str">
            <v>BEKASI</v>
          </cell>
          <cell r="K31" t="str">
            <v>SMARTFREN</v>
          </cell>
          <cell r="L31" t="str">
            <v>-</v>
          </cell>
          <cell r="M31"/>
          <cell r="N31" t="str">
            <v>107.14342</v>
          </cell>
          <cell r="O31">
            <v>-6.2213380000000003</v>
          </cell>
          <cell r="P31">
            <v>0</v>
          </cell>
          <cell r="Q31">
            <v>107.14342000000001</v>
          </cell>
          <cell r="R31" t="str">
            <v>NY MITRA</v>
          </cell>
          <cell r="S31"/>
          <cell r="T31"/>
          <cell r="U31" t="str">
            <v>PRE SITAC</v>
          </cell>
          <cell r="V31" t="str">
            <v>03. Review RNP</v>
          </cell>
          <cell r="W31"/>
          <cell r="X31"/>
          <cell r="Y31"/>
          <cell r="Z31" t="str">
            <v>Butuh RF min 35m</v>
          </cell>
          <cell r="AA31" t="str">
            <v>Hasil Validasi Need RF 35m
Validasi kand A, B, dan C</v>
          </cell>
          <cell r="AB31"/>
          <cell r="AC31"/>
          <cell r="AD31"/>
          <cell r="AE31"/>
          <cell r="AF31"/>
          <cell r="AG31"/>
          <cell r="AH31"/>
          <cell r="AI31"/>
          <cell r="AJ31"/>
          <cell r="AK31"/>
          <cell r="AL31"/>
          <cell r="AM31"/>
          <cell r="AN31"/>
          <cell r="AO31"/>
          <cell r="AP31"/>
        </row>
        <row r="32">
          <cell r="A32"/>
          <cell r="B32">
            <v>230580380231</v>
          </cell>
          <cell r="C32">
            <v>1261431023</v>
          </cell>
          <cell r="D32" t="str">
            <v>ZJKT2_4000</v>
          </cell>
          <cell r="E32" t="str">
            <v>SUKAHURIP SUKATANI</v>
          </cell>
          <cell r="F32">
            <v>43872</v>
          </cell>
          <cell r="G32" t="str">
            <v>FEB 2020</v>
          </cell>
          <cell r="H32">
            <v>316</v>
          </cell>
          <cell r="I32" t="str">
            <v>JABODETABEK (OUTER)</v>
          </cell>
          <cell r="J32" t="str">
            <v>BEKASI</v>
          </cell>
          <cell r="K32" t="str">
            <v>SMARTFREN</v>
          </cell>
          <cell r="L32" t="str">
            <v>-</v>
          </cell>
          <cell r="M32"/>
          <cell r="N32" t="str">
            <v>107.158291</v>
          </cell>
          <cell r="O32">
            <v>-6.2133690450000003</v>
          </cell>
          <cell r="P32">
            <v>0</v>
          </cell>
          <cell r="Q32">
            <v>107.15829050000001</v>
          </cell>
          <cell r="R32" t="str">
            <v>NY MITRA</v>
          </cell>
          <cell r="S32"/>
          <cell r="T32"/>
          <cell r="U32" t="str">
            <v>PRE SITAC</v>
          </cell>
          <cell r="V32" t="str">
            <v>03. Review RNP</v>
          </cell>
          <cell r="W32"/>
          <cell r="X32"/>
          <cell r="Y32"/>
          <cell r="Z32" t="str">
            <v>OK, 30m</v>
          </cell>
          <cell r="AA32" t="str">
            <v>Hasil Validasi OK, 30m
Validasi Kand A</v>
          </cell>
          <cell r="AB32"/>
          <cell r="AC32"/>
          <cell r="AD32"/>
          <cell r="AE32"/>
          <cell r="AF32"/>
          <cell r="AG32"/>
          <cell r="AH32"/>
          <cell r="AI32"/>
          <cell r="AJ32"/>
          <cell r="AK32" t="str">
            <v>A</v>
          </cell>
          <cell r="AL32">
            <v>107.15808</v>
          </cell>
          <cell r="AM32">
            <v>-6.2140500000000003</v>
          </cell>
          <cell r="AN32"/>
          <cell r="AO32"/>
          <cell r="AP32"/>
        </row>
        <row r="33">
          <cell r="A33" t="str">
            <v>ZBGR_4355</v>
          </cell>
          <cell r="B33">
            <v>230560350231</v>
          </cell>
          <cell r="C33">
            <v>1260571023</v>
          </cell>
          <cell r="D33" t="str">
            <v>BOG0132</v>
          </cell>
          <cell r="E33" t="str">
            <v>GUNUNG PUTRI BOGOR</v>
          </cell>
          <cell r="F33">
            <v>43829</v>
          </cell>
          <cell r="G33" t="str">
            <v>DES 2019</v>
          </cell>
          <cell r="H33">
            <v>359</v>
          </cell>
          <cell r="I33" t="str">
            <v>JABODETABEK (OUTER)</v>
          </cell>
          <cell r="J33" t="str">
            <v>BOGOR</v>
          </cell>
          <cell r="K33" t="str">
            <v>SMARTFREN</v>
          </cell>
          <cell r="L33" t="str">
            <v>-</v>
          </cell>
          <cell r="M33"/>
          <cell r="N33" t="str">
            <v>106.88182</v>
          </cell>
          <cell r="O33">
            <v>-6.4615260000000001</v>
          </cell>
          <cell r="P33">
            <v>0</v>
          </cell>
          <cell r="Q33">
            <v>106.88182</v>
          </cell>
          <cell r="R33" t="str">
            <v>NY MITRA</v>
          </cell>
          <cell r="S33"/>
          <cell r="T33"/>
          <cell r="U33" t="str">
            <v>SITAC</v>
          </cell>
          <cell r="V33" t="str">
            <v>05. BAN/BAK</v>
          </cell>
          <cell r="W33"/>
          <cell r="X33"/>
          <cell r="Y33"/>
          <cell r="Z33" t="e">
            <v>#N/A</v>
          </cell>
          <cell r="AA33" t="str">
            <v>Kand outcell terlalu jauh, return by BNP</v>
          </cell>
          <cell r="AB33" t="str">
            <v>Submit BA cancel pekerjaan 21 Februari 2020</v>
          </cell>
          <cell r="AC33" t="str">
            <v>-</v>
          </cell>
          <cell r="AD33" t="str">
            <v>-</v>
          </cell>
          <cell r="AE33"/>
          <cell r="AF33"/>
          <cell r="AG33"/>
          <cell r="AH33"/>
          <cell r="AI33"/>
          <cell r="AJ33"/>
          <cell r="AK33"/>
          <cell r="AL33"/>
          <cell r="AM33"/>
          <cell r="AN33"/>
          <cell r="AO33"/>
          <cell r="AP33"/>
        </row>
        <row r="34">
          <cell r="A34" t="str">
            <v>JAK0497</v>
          </cell>
          <cell r="B34">
            <v>230553960231</v>
          </cell>
          <cell r="C34">
            <v>1127021023</v>
          </cell>
          <cell r="D34" t="str">
            <v>ZJKT2_5337</v>
          </cell>
          <cell r="E34" t="str">
            <v>HALIM PERDANA KUSUMAH 497</v>
          </cell>
          <cell r="F34">
            <v>43789</v>
          </cell>
          <cell r="G34" t="str">
            <v>NOV 2019</v>
          </cell>
          <cell r="H34">
            <v>399</v>
          </cell>
          <cell r="I34" t="str">
            <v>JABODETABEK (INNER)</v>
          </cell>
          <cell r="J34" t="str">
            <v>JAKARTA TIMUR</v>
          </cell>
          <cell r="K34" t="str">
            <v>SMARTFREN</v>
          </cell>
          <cell r="L34" t="str">
            <v>-</v>
          </cell>
          <cell r="M34"/>
          <cell r="N34"/>
          <cell r="O34"/>
          <cell r="P34"/>
          <cell r="Q34"/>
          <cell r="R34" t="str">
            <v>KLS</v>
          </cell>
          <cell r="S34" t="str">
            <v>Aditya Rachaman</v>
          </cell>
          <cell r="T34"/>
          <cell r="U34" t="str">
            <v>PRE SITAC</v>
          </cell>
          <cell r="V34" t="str">
            <v>01. Hunting</v>
          </cell>
          <cell r="W34"/>
          <cell r="X34"/>
          <cell r="Y34"/>
          <cell r="Z34" t="e">
            <v>#N/A</v>
          </cell>
          <cell r="AA34" t="str">
            <v>06.03 : Sitac officer (adit) join survey dengan adit cgr
Hunting kandidat A</v>
          </cell>
          <cell r="AB34" t="str">
            <v>Hunting Kand A</v>
          </cell>
          <cell r="AC34"/>
          <cell r="AD34"/>
          <cell r="AE34" t="str">
            <v>25.11.19 : hunting kandidat A</v>
          </cell>
          <cell r="AF34"/>
          <cell r="AG34"/>
          <cell r="AH34"/>
          <cell r="AI34"/>
          <cell r="AJ34"/>
          <cell r="AK34"/>
          <cell r="AL34"/>
          <cell r="AM34"/>
          <cell r="AN34"/>
          <cell r="AO34"/>
          <cell r="AP34"/>
        </row>
        <row r="35">
          <cell r="A35" t="str">
            <v>ZJKT2_4968</v>
          </cell>
          <cell r="B35">
            <v>230575300231</v>
          </cell>
          <cell r="C35">
            <v>1261091023</v>
          </cell>
          <cell r="D35" t="str">
            <v>ZJKT2_4968</v>
          </cell>
          <cell r="E35" t="str">
            <v>BEKASI UTARA</v>
          </cell>
          <cell r="F35">
            <v>43858</v>
          </cell>
          <cell r="G35" t="str">
            <v>JAN 2020</v>
          </cell>
          <cell r="H35">
            <v>330</v>
          </cell>
          <cell r="I35" t="str">
            <v>JABODETABEK (OUTER)</v>
          </cell>
          <cell r="J35" t="str">
            <v>KOTA BEKASI</v>
          </cell>
          <cell r="K35" t="str">
            <v>SMARTFREN</v>
          </cell>
          <cell r="L35" t="str">
            <v>-</v>
          </cell>
          <cell r="M35"/>
          <cell r="N35" t="str">
            <v>107.009694</v>
          </cell>
          <cell r="O35">
            <v>-6.2282039999999999</v>
          </cell>
          <cell r="P35">
            <v>0</v>
          </cell>
          <cell r="Q35">
            <v>107.009694</v>
          </cell>
          <cell r="R35" t="str">
            <v>NY MITRA</v>
          </cell>
          <cell r="S35"/>
          <cell r="T35"/>
          <cell r="U35" t="str">
            <v>PRE SITAC</v>
          </cell>
          <cell r="V35" t="str">
            <v>01. Hunting</v>
          </cell>
          <cell r="W35"/>
          <cell r="X35"/>
          <cell r="Y35"/>
          <cell r="Z35" t="e">
            <v>#N/A</v>
          </cell>
          <cell r="AA35" t="str">
            <v>Hunting kandidat A</v>
          </cell>
          <cell r="AB35"/>
          <cell r="AC35"/>
          <cell r="AD35"/>
          <cell r="AE35"/>
          <cell r="AF35"/>
          <cell r="AG35"/>
          <cell r="AH35"/>
          <cell r="AI35"/>
          <cell r="AJ35"/>
          <cell r="AK35"/>
          <cell r="AL35"/>
          <cell r="AM35"/>
          <cell r="AN35"/>
          <cell r="AO35"/>
          <cell r="AP35"/>
        </row>
        <row r="36">
          <cell r="A36" t="str">
            <v>ZJKT2_5192</v>
          </cell>
          <cell r="B36">
            <v>230575330231</v>
          </cell>
          <cell r="C36">
            <v>1261101023</v>
          </cell>
          <cell r="D36" t="str">
            <v>ZJKT2_5192</v>
          </cell>
          <cell r="E36" t="str">
            <v>CIMANGGIS DEPOK 025</v>
          </cell>
          <cell r="F36">
            <v>43858</v>
          </cell>
          <cell r="G36" t="str">
            <v>JAN 2020</v>
          </cell>
          <cell r="H36">
            <v>330</v>
          </cell>
          <cell r="I36" t="str">
            <v>JABODETABEK (INNER)</v>
          </cell>
          <cell r="J36" t="str">
            <v>KOTA DEPOK</v>
          </cell>
          <cell r="K36" t="str">
            <v>SMARTFREN</v>
          </cell>
          <cell r="L36" t="str">
            <v>-</v>
          </cell>
          <cell r="M36"/>
          <cell r="N36"/>
          <cell r="O36"/>
          <cell r="P36"/>
          <cell r="Q36"/>
          <cell r="R36" t="str">
            <v>GNJ</v>
          </cell>
          <cell r="S36" t="str">
            <v>Handri Purnama</v>
          </cell>
          <cell r="T36"/>
          <cell r="U36" t="str">
            <v>PRE SITAC</v>
          </cell>
          <cell r="V36" t="str">
            <v>01. Hunting</v>
          </cell>
          <cell r="W36"/>
          <cell r="X36" t="str">
            <v>W4 Mart</v>
          </cell>
          <cell r="Y36"/>
          <cell r="Z36" t="e">
            <v>#N/A</v>
          </cell>
          <cell r="AA36" t="str">
            <v>Hunting kandidat A,BAN 25jt/Thn.Proses nego BAN,IW Og ada 25KK, Tower eksisting PKP</v>
          </cell>
          <cell r="AB36" t="str">
            <v>Finalisasi BAN dan IW</v>
          </cell>
          <cell r="AC36"/>
          <cell r="AD36"/>
          <cell r="AE36"/>
          <cell r="AF36"/>
          <cell r="AG36"/>
          <cell r="AH36"/>
          <cell r="AI36"/>
          <cell r="AJ36"/>
          <cell r="AK36"/>
          <cell r="AL36"/>
          <cell r="AM36"/>
          <cell r="AN36"/>
          <cell r="AO36"/>
          <cell r="AP36"/>
        </row>
        <row r="37">
          <cell r="A37" t="str">
            <v>ZJKT2_4181</v>
          </cell>
          <cell r="B37">
            <v>230575270231</v>
          </cell>
          <cell r="C37">
            <v>1261071023</v>
          </cell>
          <cell r="D37" t="str">
            <v>ZJKT2_4181</v>
          </cell>
          <cell r="E37" t="str">
            <v>CIMANGGIS DEPOK 162</v>
          </cell>
          <cell r="F37">
            <v>43858</v>
          </cell>
          <cell r="G37" t="str">
            <v>JAN 2020</v>
          </cell>
          <cell r="H37">
            <v>330</v>
          </cell>
          <cell r="I37" t="str">
            <v>JABODETABEK (INNER)</v>
          </cell>
          <cell r="J37" t="str">
            <v>KOTA DEPOK</v>
          </cell>
          <cell r="K37" t="str">
            <v>SMARTFREN</v>
          </cell>
          <cell r="L37" t="str">
            <v>-</v>
          </cell>
          <cell r="M37"/>
          <cell r="N37"/>
          <cell r="O37"/>
          <cell r="P37"/>
          <cell r="Q37"/>
          <cell r="R37" t="str">
            <v>GNJ</v>
          </cell>
          <cell r="S37" t="str">
            <v>Handri Purnama</v>
          </cell>
          <cell r="T37"/>
          <cell r="U37" t="str">
            <v>PRE SITAC</v>
          </cell>
          <cell r="V37" t="str">
            <v>03. Review RNP</v>
          </cell>
          <cell r="W37"/>
          <cell r="X37" t="str">
            <v>W1 April</v>
          </cell>
          <cell r="Y37"/>
          <cell r="Z37" t="e">
            <v>#N/A</v>
          </cell>
          <cell r="AA37" t="str">
            <v>Validasi kandidat A, Submit BAN tanggal 9 maret 2020, 30KK</v>
          </cell>
          <cell r="AB37" t="str">
            <v>Submit Validasi Kand A</v>
          </cell>
          <cell r="AC37"/>
          <cell r="AD37"/>
          <cell r="AE37"/>
          <cell r="AF37"/>
          <cell r="AG37"/>
          <cell r="AH37"/>
          <cell r="AI37"/>
          <cell r="AJ37"/>
          <cell r="AK37"/>
          <cell r="AL37"/>
          <cell r="AM37"/>
          <cell r="AN37"/>
          <cell r="AO37"/>
          <cell r="AP37"/>
        </row>
        <row r="38">
          <cell r="A38" t="str">
            <v>ZJKT2_4514</v>
          </cell>
          <cell r="B38">
            <v>230560340231</v>
          </cell>
          <cell r="C38">
            <v>1260561023</v>
          </cell>
          <cell r="D38" t="str">
            <v>JAK0240</v>
          </cell>
          <cell r="E38" t="str">
            <v>BEKASI UTARA 2</v>
          </cell>
          <cell r="F38">
            <v>43829</v>
          </cell>
          <cell r="G38" t="str">
            <v>DES 2019</v>
          </cell>
          <cell r="H38">
            <v>359</v>
          </cell>
          <cell r="I38" t="str">
            <v>JABODETABEK (OUTER)</v>
          </cell>
          <cell r="J38" t="str">
            <v>KOTA BEKASI</v>
          </cell>
          <cell r="K38" t="str">
            <v>SMARTFREN</v>
          </cell>
          <cell r="L38" t="str">
            <v>-</v>
          </cell>
          <cell r="M38"/>
          <cell r="N38" t="str">
            <v>107.00067</v>
          </cell>
          <cell r="O38">
            <v>-6.1775630000000001</v>
          </cell>
          <cell r="P38">
            <v>0</v>
          </cell>
          <cell r="Q38">
            <v>107.00067</v>
          </cell>
          <cell r="R38" t="str">
            <v>NY MITRA</v>
          </cell>
          <cell r="S38"/>
          <cell r="T38"/>
          <cell r="U38" t="str">
            <v>PRE SITAC</v>
          </cell>
          <cell r="V38" t="str">
            <v>02. Rehunting</v>
          </cell>
          <cell r="W38"/>
          <cell r="X38"/>
          <cell r="Y38"/>
          <cell r="Z38" t="e">
            <v>#N/A</v>
          </cell>
          <cell r="AA38" t="str">
            <v>Kand B reject IW, hard kandidat, return by LBL</v>
          </cell>
          <cell r="AB38" t="str">
            <v>Submit BA cancel pekerjaan 20 Februari 2020</v>
          </cell>
          <cell r="AC38" t="str">
            <v>-</v>
          </cell>
          <cell r="AD38" t="str">
            <v>-</v>
          </cell>
          <cell r="AE38"/>
          <cell r="AF38"/>
          <cell r="AG38"/>
          <cell r="AH38"/>
          <cell r="AI38"/>
          <cell r="AJ38"/>
          <cell r="AK38"/>
          <cell r="AL38"/>
          <cell r="AM38"/>
          <cell r="AN38"/>
          <cell r="AO38"/>
          <cell r="AP38"/>
        </row>
        <row r="39">
          <cell r="A39"/>
          <cell r="B39">
            <v>230580020231</v>
          </cell>
          <cell r="C39">
            <v>1261381023</v>
          </cell>
          <cell r="D39" t="str">
            <v>ZBGR_4652</v>
          </cell>
          <cell r="E39" t="str">
            <v>PABUARAN CIBINONG</v>
          </cell>
          <cell r="F39">
            <v>43872</v>
          </cell>
          <cell r="G39" t="str">
            <v>FEB 2020</v>
          </cell>
          <cell r="H39">
            <v>316</v>
          </cell>
          <cell r="I39" t="str">
            <v>JABODETABEK (OUTER)</v>
          </cell>
          <cell r="J39" t="str">
            <v>BOGOR</v>
          </cell>
          <cell r="K39" t="str">
            <v>SMARTFREN</v>
          </cell>
          <cell r="L39" t="str">
            <v>-</v>
          </cell>
          <cell r="M39"/>
          <cell r="N39"/>
          <cell r="O39"/>
          <cell r="P39"/>
          <cell r="Q39"/>
          <cell r="R39" t="str">
            <v>GNJ</v>
          </cell>
          <cell r="S39" t="str">
            <v>Handri Purnama</v>
          </cell>
          <cell r="T39"/>
          <cell r="U39" t="str">
            <v>PRE SITAC</v>
          </cell>
          <cell r="V39" t="str">
            <v>03. Review RNP</v>
          </cell>
          <cell r="W39"/>
          <cell r="X39" t="str">
            <v>W4 Mart</v>
          </cell>
          <cell r="Y39"/>
          <cell r="Z39" t="e">
            <v>#N/A</v>
          </cell>
          <cell r="AA39" t="str">
            <v>Validasi Kand A</v>
          </cell>
          <cell r="AB39" t="str">
            <v>Submit Validasi Kand A</v>
          </cell>
          <cell r="AC39"/>
          <cell r="AD39"/>
          <cell r="AE39"/>
          <cell r="AF39"/>
          <cell r="AG39"/>
          <cell r="AH39"/>
          <cell r="AI39"/>
          <cell r="AJ39"/>
          <cell r="AK39"/>
          <cell r="AL39"/>
          <cell r="AM39"/>
          <cell r="AN39"/>
          <cell r="AO39"/>
          <cell r="AP39"/>
        </row>
        <row r="40">
          <cell r="A40"/>
          <cell r="B40">
            <v>230579550231</v>
          </cell>
          <cell r="C40">
            <v>1261211023</v>
          </cell>
          <cell r="D40" t="str">
            <v>ZBGR_4667</v>
          </cell>
          <cell r="E40" t="str">
            <v>PASIR JAMBU SUKARAJA</v>
          </cell>
          <cell r="F40">
            <v>43871</v>
          </cell>
          <cell r="G40" t="str">
            <v>FEB 2020</v>
          </cell>
          <cell r="H40">
            <v>317</v>
          </cell>
          <cell r="I40" t="str">
            <v>JABODETABEK (OUTER)</v>
          </cell>
          <cell r="J40" t="str">
            <v>BOGOR</v>
          </cell>
          <cell r="K40" t="str">
            <v>SMARTFREN</v>
          </cell>
          <cell r="L40" t="str">
            <v>-</v>
          </cell>
          <cell r="M40"/>
          <cell r="N40"/>
          <cell r="O40"/>
          <cell r="P40"/>
          <cell r="Q40"/>
          <cell r="R40" t="str">
            <v>GNJ</v>
          </cell>
          <cell r="S40" t="str">
            <v>Handri Purnama</v>
          </cell>
          <cell r="T40"/>
          <cell r="U40" t="str">
            <v>PRE SITAC</v>
          </cell>
          <cell r="V40" t="str">
            <v>03. Review RNP</v>
          </cell>
          <cell r="W40"/>
          <cell r="X40" t="str">
            <v>W4 Mart</v>
          </cell>
          <cell r="Y40"/>
          <cell r="Z40" t="e">
            <v>#N/A</v>
          </cell>
          <cell r="AA40" t="str">
            <v>Validasi kand A Submit JR ( Validasi )</v>
          </cell>
          <cell r="AB40" t="str">
            <v>Submit Validasi Kand B</v>
          </cell>
          <cell r="AC40"/>
          <cell r="AD40"/>
          <cell r="AE40"/>
          <cell r="AF40"/>
          <cell r="AG40"/>
          <cell r="AH40"/>
          <cell r="AI40"/>
          <cell r="AJ40"/>
          <cell r="AK40"/>
          <cell r="AL40"/>
          <cell r="AM40"/>
          <cell r="AN40"/>
          <cell r="AO40"/>
          <cell r="AP40"/>
        </row>
        <row r="41">
          <cell r="A41"/>
          <cell r="B41">
            <v>230579990231</v>
          </cell>
          <cell r="C41">
            <v>1261351023</v>
          </cell>
          <cell r="D41" t="str">
            <v>ZJKT2_5918</v>
          </cell>
          <cell r="E41" t="str">
            <v>RAGAJAYA BOJONG GEDE</v>
          </cell>
          <cell r="F41">
            <v>43872</v>
          </cell>
          <cell r="G41" t="str">
            <v>FEB 2020</v>
          </cell>
          <cell r="H41">
            <v>316</v>
          </cell>
          <cell r="I41" t="str">
            <v>JABODETABEK (OUTER)</v>
          </cell>
          <cell r="J41" t="str">
            <v>BOGOR</v>
          </cell>
          <cell r="K41" t="str">
            <v>SMARTFREN</v>
          </cell>
          <cell r="L41" t="str">
            <v>-</v>
          </cell>
          <cell r="M41"/>
          <cell r="N41"/>
          <cell r="O41"/>
          <cell r="P41"/>
          <cell r="Q41"/>
          <cell r="R41" t="str">
            <v>GNJ</v>
          </cell>
          <cell r="S41" t="str">
            <v>Handri Purnama</v>
          </cell>
          <cell r="T41"/>
          <cell r="U41" t="str">
            <v>PRE SITAC</v>
          </cell>
          <cell r="V41" t="str">
            <v>03. Review RNP</v>
          </cell>
          <cell r="W41"/>
          <cell r="X41" t="str">
            <v>W4 Mart</v>
          </cell>
          <cell r="Y41"/>
          <cell r="Z41" t="e">
            <v>#N/A</v>
          </cell>
          <cell r="AA41" t="str">
            <v xml:space="preserve">Validasi Kand A, JR done submit, </v>
          </cell>
          <cell r="AB41" t="str">
            <v>Submit Validasi Kand A</v>
          </cell>
          <cell r="AC41"/>
          <cell r="AD41"/>
          <cell r="AE41"/>
          <cell r="AF41"/>
          <cell r="AG41"/>
          <cell r="AH41"/>
          <cell r="AI41"/>
          <cell r="AJ41"/>
          <cell r="AK41"/>
          <cell r="AL41"/>
          <cell r="AM41"/>
          <cell r="AN41"/>
          <cell r="AO41"/>
          <cell r="AP41"/>
        </row>
        <row r="42">
          <cell r="A42"/>
          <cell r="B42">
            <v>230579660231</v>
          </cell>
          <cell r="C42">
            <v>1261251023</v>
          </cell>
          <cell r="D42" t="str">
            <v>ZBGR_4660</v>
          </cell>
          <cell r="E42" t="str">
            <v>SUSUKAN BOJONG GEDE</v>
          </cell>
          <cell r="F42">
            <v>43871</v>
          </cell>
          <cell r="G42" t="str">
            <v>FEB 2020</v>
          </cell>
          <cell r="H42">
            <v>317</v>
          </cell>
          <cell r="I42" t="str">
            <v>JABODETABEK (OUTER)</v>
          </cell>
          <cell r="J42" t="str">
            <v>BOGOR</v>
          </cell>
          <cell r="K42" t="str">
            <v>SMARTFREN</v>
          </cell>
          <cell r="L42" t="str">
            <v>-</v>
          </cell>
          <cell r="M42"/>
          <cell r="N42"/>
          <cell r="O42"/>
          <cell r="P42"/>
          <cell r="Q42"/>
          <cell r="R42" t="str">
            <v>GNJ</v>
          </cell>
          <cell r="S42" t="str">
            <v>Handri Purnama</v>
          </cell>
          <cell r="T42"/>
          <cell r="U42" t="str">
            <v>SITAC</v>
          </cell>
          <cell r="V42" t="str">
            <v>05. BAN/BAK</v>
          </cell>
          <cell r="W42"/>
          <cell r="X42" t="str">
            <v>W1 April</v>
          </cell>
          <cell r="Y42"/>
          <cell r="Z42" t="e">
            <v>#N/A</v>
          </cell>
          <cell r="AA42" t="str">
            <v>Kand A Proses BAN 27jt/thn proses nego dan IW OG, Paralel Rehunting 9 Maret 2020</v>
          </cell>
          <cell r="AB42" t="str">
            <v>Finalisasi BAN dan IW</v>
          </cell>
          <cell r="AC42"/>
          <cell r="AD42"/>
          <cell r="AE42"/>
          <cell r="AF42"/>
          <cell r="AG42"/>
          <cell r="AH42"/>
          <cell r="AI42"/>
          <cell r="AJ42"/>
          <cell r="AK42"/>
          <cell r="AL42"/>
          <cell r="AM42"/>
          <cell r="AN42"/>
          <cell r="AO42"/>
          <cell r="AP42"/>
        </row>
        <row r="43">
          <cell r="A43" t="str">
            <v>ZJKT2_4258</v>
          </cell>
          <cell r="B43" t="str">
            <v>230575280231</v>
          </cell>
          <cell r="C43">
            <v>1261081023</v>
          </cell>
          <cell r="D43" t="str">
            <v>ZJKT2_4258</v>
          </cell>
          <cell r="E43" t="str">
            <v>TAPOS DEPOK</v>
          </cell>
          <cell r="F43">
            <v>43858</v>
          </cell>
          <cell r="G43" t="str">
            <v>JAN 2020</v>
          </cell>
          <cell r="H43">
            <v>330</v>
          </cell>
          <cell r="I43" t="str">
            <v>JABODETABEK (INNER)</v>
          </cell>
          <cell r="J43" t="str">
            <v>KOTA DEPOK</v>
          </cell>
          <cell r="K43" t="str">
            <v>SMARTFREN</v>
          </cell>
          <cell r="L43" t="str">
            <v>-</v>
          </cell>
          <cell r="M43"/>
          <cell r="N43"/>
          <cell r="O43"/>
          <cell r="P43"/>
          <cell r="Q43"/>
          <cell r="R43" t="str">
            <v>GNJ</v>
          </cell>
          <cell r="S43" t="str">
            <v>Handri Purnama</v>
          </cell>
          <cell r="T43"/>
          <cell r="U43" t="str">
            <v>SITAC</v>
          </cell>
          <cell r="V43" t="str">
            <v>05. BAN/BAK</v>
          </cell>
          <cell r="W43"/>
          <cell r="X43" t="str">
            <v>W1 April</v>
          </cell>
          <cell r="Y43"/>
          <cell r="Z43" t="e">
            <v>#N/A</v>
          </cell>
          <cell r="AA43" t="str">
            <v>Kand A &amp; B OK, BAN 25JT IW 80%, Rehunting 9 Maret 2020</v>
          </cell>
          <cell r="AB43" t="str">
            <v>Renego BAN dan IW</v>
          </cell>
          <cell r="AC43"/>
          <cell r="AD43"/>
          <cell r="AE43"/>
          <cell r="AF43"/>
          <cell r="AG43"/>
          <cell r="AH43" t="str">
            <v>NEW BUILD</v>
          </cell>
          <cell r="AI43" t="str">
            <v>STIP 1</v>
          </cell>
          <cell r="AJ43" t="str">
            <v>TB</v>
          </cell>
          <cell r="AK43" t="str">
            <v>A</v>
          </cell>
          <cell r="AL43" t="str">
            <v>106.88383</v>
          </cell>
          <cell r="AM43" t="str">
            <v>-6.4111</v>
          </cell>
          <cell r="AN43" t="str">
            <v>Kp Setu RT. 04 RW. 08 Kel. Cilangkap Kec. Tapos Kota Depok</v>
          </cell>
          <cell r="AO43" t="str">
            <v>32 m</v>
          </cell>
          <cell r="AP43" t="str">
            <v>JAWA BARAT</v>
          </cell>
        </row>
        <row r="44">
          <cell r="A44"/>
          <cell r="B44">
            <v>230580650231</v>
          </cell>
          <cell r="C44">
            <v>1261551023</v>
          </cell>
          <cell r="D44" t="str">
            <v>ZJKT2_6105</v>
          </cell>
          <cell r="E44" t="str">
            <v>BENGLE MAJALAYA</v>
          </cell>
          <cell r="F44">
            <v>43872</v>
          </cell>
          <cell r="G44" t="str">
            <v>FEB 2020</v>
          </cell>
          <cell r="H44">
            <v>316</v>
          </cell>
          <cell r="I44" t="str">
            <v>JABODETABEK (OUTER)</v>
          </cell>
          <cell r="J44" t="str">
            <v>KARAWANG</v>
          </cell>
          <cell r="K44" t="str">
            <v>SMARTFREN</v>
          </cell>
          <cell r="L44" t="str">
            <v>-</v>
          </cell>
          <cell r="M44"/>
          <cell r="N44"/>
          <cell r="O44"/>
          <cell r="P44"/>
          <cell r="Q44"/>
          <cell r="R44" t="str">
            <v>LBL</v>
          </cell>
          <cell r="S44" t="str">
            <v>Handri Purnama</v>
          </cell>
          <cell r="T44"/>
          <cell r="U44" t="str">
            <v>PRE SITAC</v>
          </cell>
          <cell r="V44" t="str">
            <v>01. Hunting</v>
          </cell>
          <cell r="W44"/>
          <cell r="X44"/>
          <cell r="Y44"/>
          <cell r="Z44" t="e">
            <v>#N/A</v>
          </cell>
          <cell r="AA44" t="str">
            <v>Hunting kand A lokasi Perumahan padat</v>
          </cell>
          <cell r="AB44" t="str">
            <v xml:space="preserve">Submit kandidat A </v>
          </cell>
          <cell r="AC44" t="str">
            <v>-</v>
          </cell>
          <cell r="AD44" t="str">
            <v>-</v>
          </cell>
          <cell r="AE44"/>
          <cell r="AF44"/>
          <cell r="AG44"/>
          <cell r="AH44"/>
          <cell r="AI44"/>
          <cell r="AJ44"/>
          <cell r="AK44"/>
          <cell r="AL44"/>
          <cell r="AM44"/>
          <cell r="AN44"/>
          <cell r="AO44"/>
          <cell r="AP44"/>
        </row>
        <row r="45">
          <cell r="A45"/>
          <cell r="B45">
            <v>230579810231</v>
          </cell>
          <cell r="C45">
            <v>1261281023</v>
          </cell>
          <cell r="D45" t="str">
            <v>ZJKT2_5986</v>
          </cell>
          <cell r="E45" t="str">
            <v>JATIRAHAYU PONDOKMELATI</v>
          </cell>
          <cell r="F45">
            <v>43871</v>
          </cell>
          <cell r="G45" t="str">
            <v>FEB 2020</v>
          </cell>
          <cell r="H45">
            <v>317</v>
          </cell>
          <cell r="I45" t="str">
            <v>JABODETABEK (OUTER)</v>
          </cell>
          <cell r="J45" t="str">
            <v>KOTA BEKASI</v>
          </cell>
          <cell r="K45" t="str">
            <v>SMARTFREN</v>
          </cell>
          <cell r="L45" t="str">
            <v>-</v>
          </cell>
          <cell r="M45"/>
          <cell r="N45"/>
          <cell r="O45"/>
          <cell r="P45"/>
          <cell r="Q45"/>
          <cell r="R45" t="str">
            <v>LBL</v>
          </cell>
          <cell r="S45" t="str">
            <v>Handri Purnama</v>
          </cell>
          <cell r="T45"/>
          <cell r="U45" t="str">
            <v>PRE SITAC</v>
          </cell>
          <cell r="V45" t="str">
            <v>02. Rehunting</v>
          </cell>
          <cell r="W45"/>
          <cell r="X45"/>
          <cell r="Y45"/>
          <cell r="Z45" t="str">
            <v>NOK, dekat existing</v>
          </cell>
          <cell r="AA45" t="str">
            <v>Hasil Validasi Kand A NOK dekat eksisting, rehunting
Hard kandidat, wilayah pergudangan, Validasi kand A &amp; JR</v>
          </cell>
          <cell r="AB45" t="str">
            <v>Submit kandidat (in sar atau out sar with JR) maksimal</v>
          </cell>
          <cell r="AC45" t="str">
            <v>-</v>
          </cell>
          <cell r="AD45" t="str">
            <v>-</v>
          </cell>
          <cell r="AE45"/>
          <cell r="AF45"/>
          <cell r="AG45"/>
          <cell r="AH45"/>
          <cell r="AI45"/>
          <cell r="AJ45"/>
          <cell r="AK45"/>
          <cell r="AL45"/>
          <cell r="AM45"/>
          <cell r="AN45"/>
          <cell r="AO45"/>
          <cell r="AP45"/>
        </row>
        <row r="46">
          <cell r="A46"/>
          <cell r="B46">
            <v>230579790231</v>
          </cell>
          <cell r="C46">
            <v>1261261023</v>
          </cell>
          <cell r="D46" t="str">
            <v>ZJKT2_6036</v>
          </cell>
          <cell r="E46" t="str">
            <v>MEDAN SATRIA MEDAN SATRIA</v>
          </cell>
          <cell r="F46">
            <v>43871</v>
          </cell>
          <cell r="G46" t="str">
            <v>FEB 2020</v>
          </cell>
          <cell r="H46">
            <v>317</v>
          </cell>
          <cell r="I46" t="str">
            <v>JABODETABEK (OUTER)</v>
          </cell>
          <cell r="J46" t="str">
            <v>KOTA BEKASI</v>
          </cell>
          <cell r="K46" t="str">
            <v>SMARTFREN</v>
          </cell>
          <cell r="L46" t="str">
            <v>-</v>
          </cell>
          <cell r="M46"/>
          <cell r="N46"/>
          <cell r="O46"/>
          <cell r="P46"/>
          <cell r="Q46"/>
          <cell r="R46" t="str">
            <v>LBL</v>
          </cell>
          <cell r="S46" t="str">
            <v>Handri Purnama</v>
          </cell>
          <cell r="T46"/>
          <cell r="U46" t="str">
            <v>PRE SITAC</v>
          </cell>
          <cell r="V46" t="str">
            <v>01. Hunting</v>
          </cell>
          <cell r="W46"/>
          <cell r="X46"/>
          <cell r="Y46"/>
          <cell r="Z46" t="e">
            <v>#N/A</v>
          </cell>
          <cell r="AA46" t="str">
            <v>Hard kandidat, wilayah pergudangan PT Widya Sakti Kusuma</v>
          </cell>
          <cell r="AB46" t="str">
            <v>Submit kandidat (in sar atau out sar with JR)</v>
          </cell>
          <cell r="AC46" t="str">
            <v>-</v>
          </cell>
          <cell r="AD46" t="str">
            <v>-</v>
          </cell>
          <cell r="AE46"/>
          <cell r="AF46"/>
          <cell r="AG46"/>
          <cell r="AH46"/>
          <cell r="AI46"/>
          <cell r="AJ46"/>
          <cell r="AK46"/>
          <cell r="AL46"/>
          <cell r="AM46"/>
          <cell r="AN46"/>
          <cell r="AO46"/>
          <cell r="AP46"/>
        </row>
        <row r="47">
          <cell r="A47"/>
          <cell r="B47">
            <v>230580870231</v>
          </cell>
          <cell r="C47">
            <v>1261581023</v>
          </cell>
          <cell r="D47" t="str">
            <v>ZJKT_6886</v>
          </cell>
          <cell r="E47" t="str">
            <v>PEJUANG MEDAN SATRIA</v>
          </cell>
          <cell r="F47">
            <v>43872</v>
          </cell>
          <cell r="G47" t="str">
            <v>FEB 2020</v>
          </cell>
          <cell r="H47">
            <v>316</v>
          </cell>
          <cell r="I47" t="str">
            <v>JABODETABEK (OUTER)</v>
          </cell>
          <cell r="J47" t="str">
            <v>KOTA BEKASI</v>
          </cell>
          <cell r="K47" t="str">
            <v>SMARTFREN</v>
          </cell>
          <cell r="L47" t="str">
            <v>-</v>
          </cell>
          <cell r="M47"/>
          <cell r="N47"/>
          <cell r="O47"/>
          <cell r="P47"/>
          <cell r="Q47"/>
          <cell r="R47" t="str">
            <v>LBL</v>
          </cell>
          <cell r="S47" t="str">
            <v>Handri Purnama</v>
          </cell>
          <cell r="T47"/>
          <cell r="U47" t="str">
            <v>PRE SITAC</v>
          </cell>
          <cell r="V47" t="str">
            <v>01. Hunting</v>
          </cell>
          <cell r="W47"/>
          <cell r="X47"/>
          <cell r="Y47"/>
          <cell r="Z47" t="e">
            <v>#N/A</v>
          </cell>
          <cell r="AA47" t="str">
            <v>Hard kandidat, wilayah pergudangan PT Widya Sakti Kusuma</v>
          </cell>
          <cell r="AB47" t="str">
            <v>Submit kandidat (in sar atau out sar with JR)</v>
          </cell>
          <cell r="AC47" t="str">
            <v>-</v>
          </cell>
          <cell r="AD47" t="str">
            <v>-</v>
          </cell>
          <cell r="AE47"/>
          <cell r="AF47"/>
          <cell r="AG47"/>
          <cell r="AH47"/>
          <cell r="AI47"/>
          <cell r="AJ47"/>
          <cell r="AK47"/>
          <cell r="AL47"/>
          <cell r="AM47"/>
          <cell r="AN47"/>
          <cell r="AO47"/>
          <cell r="AP47"/>
        </row>
        <row r="48">
          <cell r="A48" t="str">
            <v>JAK0362</v>
          </cell>
          <cell r="B48">
            <v>230553940231</v>
          </cell>
          <cell r="C48">
            <v>1127001023</v>
          </cell>
          <cell r="D48" t="str">
            <v>ZJKT2_5296</v>
          </cell>
          <cell r="E48" t="str">
            <v>KEBON JERUK 362</v>
          </cell>
          <cell r="F48">
            <v>43789</v>
          </cell>
          <cell r="G48" t="str">
            <v>NOV 2019</v>
          </cell>
          <cell r="H48">
            <v>399</v>
          </cell>
          <cell r="I48" t="str">
            <v>JABODETABEK (INNER)</v>
          </cell>
          <cell r="J48" t="str">
            <v>JAKARTA BARAT</v>
          </cell>
          <cell r="K48" t="str">
            <v>SMARTFREN</v>
          </cell>
          <cell r="L48" t="str">
            <v>-</v>
          </cell>
          <cell r="M48" t="str">
            <v>A</v>
          </cell>
          <cell r="N48"/>
          <cell r="O48"/>
          <cell r="P48"/>
          <cell r="Q48"/>
          <cell r="R48" t="str">
            <v>KLS</v>
          </cell>
          <cell r="S48" t="str">
            <v>Aditya Rachaman</v>
          </cell>
          <cell r="T48"/>
          <cell r="U48" t="str">
            <v>PRE SITAC</v>
          </cell>
          <cell r="V48" t="str">
            <v>Drop by OPR</v>
          </cell>
          <cell r="W48"/>
          <cell r="X48"/>
          <cell r="Y48"/>
          <cell r="Z48" t="e">
            <v>#N/A</v>
          </cell>
          <cell r="AA48" t="str">
            <v>Need Arahan kand. B
Need Arahan kand. B, informasi kand a nama kodam jaya,Status Validasi,
sengketa lahan antara LL dan kodam. senin
Reject Kand A, Comcase Kodam
Hunting kandidat A</v>
          </cell>
          <cell r="AB48" t="str">
            <v>FU Ke Pak Jafar u/ arahan kand B</v>
          </cell>
          <cell r="AC48"/>
          <cell r="AD48"/>
          <cell r="AE48" t="str">
            <v>25.11.19 : hunting kandidat A</v>
          </cell>
          <cell r="AF48"/>
          <cell r="AG48"/>
          <cell r="AH48"/>
          <cell r="AI48"/>
          <cell r="AJ48"/>
          <cell r="AK48"/>
          <cell r="AL48"/>
          <cell r="AM48"/>
          <cell r="AN48"/>
          <cell r="AO48"/>
          <cell r="AP48"/>
        </row>
        <row r="49">
          <cell r="A49" t="str">
            <v>JAW-BT-CPT-0465</v>
          </cell>
          <cell r="B49">
            <v>30572460031</v>
          </cell>
          <cell r="C49">
            <v>1317651003</v>
          </cell>
          <cell r="D49" t="str">
            <v>JAW-BT-CPT-0465</v>
          </cell>
          <cell r="E49" t="str">
            <v>BERANDA SERPONG</v>
          </cell>
          <cell r="F49">
            <v>43844</v>
          </cell>
          <cell r="G49" t="str">
            <v>JAN 2020</v>
          </cell>
          <cell r="H49">
            <v>344</v>
          </cell>
          <cell r="I49" t="str">
            <v>JABODETABEK (OUTER)</v>
          </cell>
          <cell r="J49" t="str">
            <v>TANGERANG SELATAN</v>
          </cell>
          <cell r="K49" t="str">
            <v>XL</v>
          </cell>
          <cell r="L49" t="str">
            <v>-</v>
          </cell>
          <cell r="M49"/>
          <cell r="N49"/>
          <cell r="O49"/>
          <cell r="P49"/>
          <cell r="Q49"/>
          <cell r="R49" t="str">
            <v>LBL</v>
          </cell>
          <cell r="S49" t="str">
            <v>Handri Purnama</v>
          </cell>
          <cell r="T49"/>
          <cell r="U49" t="str">
            <v>RFC</v>
          </cell>
          <cell r="V49" t="str">
            <v>12. RFC</v>
          </cell>
          <cell r="W49"/>
          <cell r="X49"/>
          <cell r="Y49"/>
          <cell r="Z49" t="e">
            <v>#N/A</v>
          </cell>
          <cell r="AA49" t="str">
            <v>RFC Done</v>
          </cell>
          <cell r="AB49" t="str">
            <v>RFC Done</v>
          </cell>
          <cell r="AC49"/>
          <cell r="AD49"/>
          <cell r="AE49"/>
          <cell r="AF49"/>
          <cell r="AG49"/>
          <cell r="AH49" t="str">
            <v>MCP</v>
          </cell>
          <cell r="AI49" t="str">
            <v>STIP 1</v>
          </cell>
          <cell r="AJ49" t="str">
            <v>TB</v>
          </cell>
          <cell r="AK49" t="str">
            <v>C</v>
          </cell>
          <cell r="AL49" t="str">
            <v>106.70642</v>
          </cell>
          <cell r="AM49" t="str">
            <v>-6.31657</v>
          </cell>
          <cell r="AN49" t="str">
            <v>Jl Raya Serua RT. 04 RW 04 Desa Serua Kec. Ciputat</v>
          </cell>
          <cell r="AO49" t="str">
            <v>20m</v>
          </cell>
          <cell r="AP49" t="str">
            <v>BANTEN</v>
          </cell>
        </row>
        <row r="50">
          <cell r="A50" t="str">
            <v>JAW-BT-CPT-0451</v>
          </cell>
          <cell r="B50">
            <v>30573420031</v>
          </cell>
          <cell r="C50">
            <v>1317831003</v>
          </cell>
          <cell r="D50" t="str">
            <v>JAW-BT-CPT-0451</v>
          </cell>
          <cell r="E50" t="str">
            <v>Ciater Serpong</v>
          </cell>
          <cell r="F50">
            <v>43846</v>
          </cell>
          <cell r="G50" t="str">
            <v>JAN 2020</v>
          </cell>
          <cell r="H50">
            <v>342</v>
          </cell>
          <cell r="I50" t="str">
            <v>JABODETABEK (OUTER)</v>
          </cell>
          <cell r="J50" t="str">
            <v>TANGERANG SELATAN</v>
          </cell>
          <cell r="K50" t="str">
            <v>XL</v>
          </cell>
          <cell r="L50" t="str">
            <v>-</v>
          </cell>
          <cell r="M50"/>
          <cell r="N50"/>
          <cell r="O50"/>
          <cell r="P50"/>
          <cell r="Q50"/>
          <cell r="R50" t="str">
            <v>LBL</v>
          </cell>
          <cell r="S50" t="str">
            <v>Handri Purnama</v>
          </cell>
          <cell r="T50"/>
          <cell r="U50" t="str">
            <v>RFC</v>
          </cell>
          <cell r="V50" t="str">
            <v>12. RFC</v>
          </cell>
          <cell r="W50"/>
          <cell r="X50"/>
          <cell r="Y50"/>
          <cell r="Z50" t="e">
            <v>#N/A</v>
          </cell>
          <cell r="AA50" t="str">
            <v>RFC Done</v>
          </cell>
          <cell r="AB50" t="str">
            <v>RFC Done</v>
          </cell>
          <cell r="AC50"/>
          <cell r="AD50"/>
          <cell r="AE50"/>
          <cell r="AF50"/>
          <cell r="AG50"/>
          <cell r="AH50" t="str">
            <v>MCP</v>
          </cell>
          <cell r="AI50" t="str">
            <v>STIP 1</v>
          </cell>
          <cell r="AJ50" t="str">
            <v>TB</v>
          </cell>
          <cell r="AK50" t="str">
            <v>C</v>
          </cell>
          <cell r="AL50" t="str">
            <v>106,69678</v>
          </cell>
          <cell r="AM50" t="str">
            <v>-6,32153</v>
          </cell>
          <cell r="AN50" t="str">
            <v>Ciater RT 09 RW 07 Desa Ciater Kel. Ciater, Kota Tangerang Selatan</v>
          </cell>
          <cell r="AO50">
            <v>25</v>
          </cell>
          <cell r="AP50" t="str">
            <v>BANTEN</v>
          </cell>
        </row>
        <row r="51">
          <cell r="A51" t="str">
            <v>ZJKT2_4248</v>
          </cell>
          <cell r="B51">
            <v>230560780231</v>
          </cell>
          <cell r="C51">
            <v>1127541023</v>
          </cell>
          <cell r="D51" t="str">
            <v>JAK0129</v>
          </cell>
          <cell r="E51" t="str">
            <v>KEMAYORAN</v>
          </cell>
          <cell r="F51">
            <v>43830</v>
          </cell>
          <cell r="G51" t="str">
            <v>DES 2019</v>
          </cell>
          <cell r="H51">
            <v>358</v>
          </cell>
          <cell r="I51" t="str">
            <v>JABODETABEK (INNER)</v>
          </cell>
          <cell r="J51" t="str">
            <v>JAKARTA PUSAT</v>
          </cell>
          <cell r="K51" t="str">
            <v>SMARTFREN</v>
          </cell>
          <cell r="L51" t="str">
            <v>-</v>
          </cell>
          <cell r="M51"/>
          <cell r="N51"/>
          <cell r="O51"/>
          <cell r="P51"/>
          <cell r="Q51"/>
          <cell r="R51" t="str">
            <v>KLS</v>
          </cell>
          <cell r="S51" t="str">
            <v>Aditya Rachaman</v>
          </cell>
          <cell r="T51"/>
          <cell r="U51" t="str">
            <v>PRE SITAC</v>
          </cell>
          <cell r="V51" t="str">
            <v>01. Hunting</v>
          </cell>
          <cell r="W51"/>
          <cell r="X51"/>
          <cell r="Y51"/>
          <cell r="Z51" t="e">
            <v>#N/A</v>
          </cell>
          <cell r="AA51" t="str">
            <v>Hunting kandidat A, Hard Sitac tidak ada Space,Og hunting selasa 10 maret</v>
          </cell>
          <cell r="AB51" t="str">
            <v>FU mitra untuk kand A, bila tidak ada Take Over</v>
          </cell>
          <cell r="AC51"/>
          <cell r="AD51"/>
          <cell r="AE51"/>
          <cell r="AF51"/>
          <cell r="AG51"/>
          <cell r="AH51"/>
          <cell r="AI51"/>
          <cell r="AJ51"/>
          <cell r="AK51"/>
          <cell r="AL51"/>
          <cell r="AM51"/>
          <cell r="AN51"/>
          <cell r="AO51"/>
          <cell r="AP51"/>
        </row>
        <row r="52">
          <cell r="A52"/>
          <cell r="B52">
            <v>230580640231</v>
          </cell>
          <cell r="C52">
            <v>1261541023</v>
          </cell>
          <cell r="D52" t="str">
            <v>ZJKT2_6107</v>
          </cell>
          <cell r="E52" t="str">
            <v>PINAYUNGAN TELUKJAMBE TIMUR</v>
          </cell>
          <cell r="F52">
            <v>43872</v>
          </cell>
          <cell r="G52" t="str">
            <v>FEB 2020</v>
          </cell>
          <cell r="H52">
            <v>316</v>
          </cell>
          <cell r="I52" t="str">
            <v>JABODETABEK (OUTER)</v>
          </cell>
          <cell r="J52" t="str">
            <v>KARAWANG</v>
          </cell>
          <cell r="K52" t="str">
            <v>SMARTFREN</v>
          </cell>
          <cell r="L52" t="str">
            <v>-</v>
          </cell>
          <cell r="M52"/>
          <cell r="N52"/>
          <cell r="O52"/>
          <cell r="P52"/>
          <cell r="Q52"/>
          <cell r="R52" t="str">
            <v>LBL</v>
          </cell>
          <cell r="S52" t="str">
            <v>Handri Purnama</v>
          </cell>
          <cell r="T52"/>
          <cell r="U52" t="str">
            <v>PRE SITAC</v>
          </cell>
          <cell r="V52" t="str">
            <v>01. Hunting</v>
          </cell>
          <cell r="W52"/>
          <cell r="X52"/>
          <cell r="Y52"/>
          <cell r="Z52" t="e">
            <v>#N/A</v>
          </cell>
          <cell r="AA52" t="str">
            <v>Hunting kand A lokasi lahan irigasi</v>
          </cell>
          <cell r="AB52" t="str">
            <v>Submit kandidat A in SAR &amp; OUT SAR</v>
          </cell>
          <cell r="AC52" t="str">
            <v>-</v>
          </cell>
          <cell r="AD52" t="str">
            <v>-</v>
          </cell>
          <cell r="AE52"/>
          <cell r="AF52"/>
          <cell r="AG52"/>
          <cell r="AH52"/>
          <cell r="AI52"/>
          <cell r="AJ52"/>
          <cell r="AK52"/>
          <cell r="AL52"/>
          <cell r="AM52"/>
          <cell r="AN52"/>
          <cell r="AO52"/>
          <cell r="AP52"/>
        </row>
        <row r="53">
          <cell r="A53"/>
          <cell r="B53">
            <v>230580070231</v>
          </cell>
          <cell r="C53">
            <v>1261411023</v>
          </cell>
          <cell r="D53" t="str">
            <v>ZJKT2_5898</v>
          </cell>
          <cell r="E53" t="str">
            <v>TUGU CIMANGGIS</v>
          </cell>
          <cell r="F53">
            <v>43872</v>
          </cell>
          <cell r="G53" t="str">
            <v>FEB 2020</v>
          </cell>
          <cell r="H53">
            <v>316</v>
          </cell>
          <cell r="I53" t="str">
            <v>JABODETABEK (INNER)</v>
          </cell>
          <cell r="J53" t="str">
            <v>KOTA DEPOK</v>
          </cell>
          <cell r="K53" t="str">
            <v>SMARTFREN</v>
          </cell>
          <cell r="L53" t="str">
            <v>-</v>
          </cell>
          <cell r="M53"/>
          <cell r="N53"/>
          <cell r="O53"/>
          <cell r="P53"/>
          <cell r="Q53"/>
          <cell r="R53" t="str">
            <v>LBL</v>
          </cell>
          <cell r="S53" t="str">
            <v>Handri Purnama</v>
          </cell>
          <cell r="T53"/>
          <cell r="U53" t="str">
            <v>PRE SITAC</v>
          </cell>
          <cell r="V53" t="str">
            <v>01. Hunting</v>
          </cell>
          <cell r="W53"/>
          <cell r="X53"/>
          <cell r="Y53"/>
          <cell r="Z53" t="e">
            <v>#N/A</v>
          </cell>
          <cell r="AA53" t="str">
            <v>Rehunting Kandidat A</v>
          </cell>
          <cell r="AB53" t="str">
            <v>Rehunting Kand A</v>
          </cell>
          <cell r="AC53" t="str">
            <v>-</v>
          </cell>
          <cell r="AD53" t="str">
            <v>-</v>
          </cell>
          <cell r="AE53"/>
          <cell r="AF53"/>
          <cell r="AG53"/>
          <cell r="AH53"/>
          <cell r="AI53"/>
          <cell r="AJ53"/>
          <cell r="AK53"/>
          <cell r="AL53"/>
          <cell r="AM53"/>
          <cell r="AN53"/>
          <cell r="AO53"/>
          <cell r="AP53"/>
        </row>
        <row r="54">
          <cell r="A54" t="str">
            <v>JAW-BT-CPT-0469</v>
          </cell>
          <cell r="B54">
            <v>30572490031</v>
          </cell>
          <cell r="C54">
            <v>1317681003</v>
          </cell>
          <cell r="D54" t="str">
            <v>JAW-BT-CPT-0469</v>
          </cell>
          <cell r="E54" t="str">
            <v>DISCOVERY CONSERVA</v>
          </cell>
          <cell r="F54">
            <v>43844</v>
          </cell>
          <cell r="G54" t="str">
            <v>JAN 2020</v>
          </cell>
          <cell r="H54">
            <v>344</v>
          </cell>
          <cell r="I54" t="str">
            <v>JABODETABEK (OUTER)</v>
          </cell>
          <cell r="J54" t="str">
            <v>TANGERANG SELATAN</v>
          </cell>
          <cell r="K54" t="str">
            <v>XL</v>
          </cell>
          <cell r="L54" t="str">
            <v>-</v>
          </cell>
          <cell r="M54"/>
          <cell r="N54"/>
          <cell r="O54"/>
          <cell r="P54"/>
          <cell r="Q54"/>
          <cell r="R54" t="str">
            <v>LBL</v>
          </cell>
          <cell r="S54" t="str">
            <v>Handri Purnama</v>
          </cell>
          <cell r="T54"/>
          <cell r="U54" t="str">
            <v>RFC</v>
          </cell>
          <cell r="V54" t="str">
            <v>12. RFC</v>
          </cell>
          <cell r="W54"/>
          <cell r="X54"/>
          <cell r="Y54"/>
          <cell r="Z54" t="e">
            <v>#N/A</v>
          </cell>
          <cell r="AA54" t="str">
            <v>RFC Done</v>
          </cell>
          <cell r="AB54" t="str">
            <v>RFC Done</v>
          </cell>
          <cell r="AC54"/>
          <cell r="AD54"/>
          <cell r="AE54"/>
          <cell r="AF54"/>
          <cell r="AG54"/>
          <cell r="AH54" t="str">
            <v>MCP</v>
          </cell>
          <cell r="AI54" t="str">
            <v>STIP 1</v>
          </cell>
          <cell r="AJ54" t="str">
            <v>TB</v>
          </cell>
          <cell r="AK54" t="str">
            <v>D</v>
          </cell>
          <cell r="AL54">
            <v>106.69712</v>
          </cell>
          <cell r="AM54">
            <v>-6.2610900000000003</v>
          </cell>
          <cell r="AN54" t="str">
            <v>Pondok Aren RT. 02 RW. 07 Kel. Pondok Kacang Timur, Tangerang Selatan</v>
          </cell>
          <cell r="AO54" t="str">
            <v>20 m</v>
          </cell>
          <cell r="AP54" t="str">
            <v>BANTEN</v>
          </cell>
        </row>
        <row r="55">
          <cell r="A55" t="str">
            <v>JAW-BT-CPT-0473</v>
          </cell>
          <cell r="B55">
            <v>30572130031</v>
          </cell>
          <cell r="C55">
            <v>1317461003</v>
          </cell>
          <cell r="D55" t="str">
            <v>JAW-BT-CPT-0473</v>
          </cell>
          <cell r="E55" t="str">
            <v>Djuna Raya Pakujaya</v>
          </cell>
          <cell r="F55">
            <v>43844</v>
          </cell>
          <cell r="G55" t="str">
            <v>JAN 2020</v>
          </cell>
          <cell r="H55">
            <v>344</v>
          </cell>
          <cell r="I55" t="str">
            <v>JABODETABEK (OUTER)</v>
          </cell>
          <cell r="J55" t="str">
            <v>TANGERANG SELATAN</v>
          </cell>
          <cell r="K55" t="str">
            <v>XL</v>
          </cell>
          <cell r="L55" t="str">
            <v>-</v>
          </cell>
          <cell r="M55"/>
          <cell r="N55"/>
          <cell r="O55"/>
          <cell r="P55"/>
          <cell r="Q55"/>
          <cell r="R55" t="str">
            <v>LBL</v>
          </cell>
          <cell r="S55" t="str">
            <v>Handri Purnama</v>
          </cell>
          <cell r="T55"/>
          <cell r="U55" t="str">
            <v>RFC</v>
          </cell>
          <cell r="V55" t="str">
            <v>12. RFC</v>
          </cell>
          <cell r="W55"/>
          <cell r="X55"/>
          <cell r="Y55"/>
          <cell r="Z55" t="e">
            <v>#N/A</v>
          </cell>
          <cell r="AA55" t="str">
            <v>RFC Done</v>
          </cell>
          <cell r="AB55" t="str">
            <v>RFC Done</v>
          </cell>
          <cell r="AC55"/>
          <cell r="AD55"/>
          <cell r="AE55"/>
          <cell r="AF55"/>
          <cell r="AG55"/>
          <cell r="AH55" t="str">
            <v>MCP</v>
          </cell>
          <cell r="AI55" t="str">
            <v>STIP 1</v>
          </cell>
          <cell r="AJ55" t="str">
            <v>TB</v>
          </cell>
          <cell r="AK55" t="str">
            <v>B</v>
          </cell>
          <cell r="AL55">
            <v>106.69058</v>
          </cell>
          <cell r="AM55">
            <v>-6.2305599999999997</v>
          </cell>
          <cell r="AN55" t="str">
            <v>gg h sarim kp, kayu gede rt, 008/04 kel pakujaya kec serpong utara tangerang selatan</v>
          </cell>
          <cell r="AO55" t="str">
            <v>20 m</v>
          </cell>
          <cell r="AP55" t="str">
            <v>BANTEN</v>
          </cell>
        </row>
        <row r="56">
          <cell r="A56" t="str">
            <v>ZJKT2_6011</v>
          </cell>
          <cell r="B56">
            <v>230579860231</v>
          </cell>
          <cell r="C56">
            <v>1128021023</v>
          </cell>
          <cell r="D56" t="str">
            <v>ZJKT2_6011</v>
          </cell>
          <cell r="E56" t="str">
            <v>LUBANG BUAYA CIPAYUNG</v>
          </cell>
          <cell r="F56">
            <v>43871</v>
          </cell>
          <cell r="G56" t="str">
            <v>FEB 2020</v>
          </cell>
          <cell r="H56">
            <v>317</v>
          </cell>
          <cell r="I56" t="str">
            <v>JABODETABEK (INNER)</v>
          </cell>
          <cell r="J56" t="str">
            <v>JAKARTA TIMUR</v>
          </cell>
          <cell r="K56" t="str">
            <v>SMARTFREN</v>
          </cell>
          <cell r="L56" t="str">
            <v>-</v>
          </cell>
          <cell r="M56" t="str">
            <v>A</v>
          </cell>
          <cell r="N56"/>
          <cell r="O56"/>
          <cell r="P56"/>
          <cell r="Q56"/>
          <cell r="R56" t="str">
            <v>KLS</v>
          </cell>
          <cell r="S56" t="str">
            <v>Aditya Rachaman</v>
          </cell>
          <cell r="T56"/>
          <cell r="U56" t="str">
            <v>PRE SITAC</v>
          </cell>
          <cell r="V56" t="str">
            <v>04. Review TNP</v>
          </cell>
          <cell r="W56"/>
          <cell r="X56"/>
          <cell r="Y56"/>
          <cell r="Z56" t="e">
            <v>#N/A</v>
          </cell>
          <cell r="AA56" t="str">
            <v>RF Ok, need panoramic by drone,waiting validasi</v>
          </cell>
          <cell r="AB56" t="str">
            <v>panoramic by drone</v>
          </cell>
          <cell r="AC56"/>
          <cell r="AD56"/>
          <cell r="AE56"/>
          <cell r="AF56"/>
          <cell r="AG56"/>
          <cell r="AH56" t="str">
            <v>MCP</v>
          </cell>
          <cell r="AI56" t="str">
            <v>STIP 1</v>
          </cell>
          <cell r="AJ56" t="str">
            <v>TB</v>
          </cell>
          <cell r="AK56" t="str">
            <v>C</v>
          </cell>
          <cell r="AL56" t="str">
            <v>106.8975</v>
          </cell>
          <cell r="AM56" t="str">
            <v>-6.29475</v>
          </cell>
          <cell r="AN56" t="str">
            <v>Jln Gorda No. 14A RT. 10/06 Kel. Lubang Buaya Kec. Cipayung, Jakarta Timur</v>
          </cell>
          <cell r="AO56" t="str">
            <v>20 m</v>
          </cell>
          <cell r="AP56" t="str">
            <v>DKI Jakarta</v>
          </cell>
        </row>
        <row r="57">
          <cell r="A57" t="str">
            <v>JAW-BT-CPT-0461</v>
          </cell>
          <cell r="B57">
            <v>30572420031</v>
          </cell>
          <cell r="C57">
            <v>1317611003</v>
          </cell>
          <cell r="D57" t="str">
            <v>JAW-BT-CPT-0461</v>
          </cell>
          <cell r="E57" t="str">
            <v>KOMPLEKS SASMITA LOKA PAMULANG BARAT</v>
          </cell>
          <cell r="F57">
            <v>43844</v>
          </cell>
          <cell r="G57" t="str">
            <v>JAN 2020</v>
          </cell>
          <cell r="H57">
            <v>344</v>
          </cell>
          <cell r="I57" t="str">
            <v>JABODETABEK (OUTER)</v>
          </cell>
          <cell r="J57" t="str">
            <v>TANGERANG SELATAN</v>
          </cell>
          <cell r="K57" t="str">
            <v>XL</v>
          </cell>
          <cell r="L57" t="str">
            <v>-</v>
          </cell>
          <cell r="M57"/>
          <cell r="N57"/>
          <cell r="O57"/>
          <cell r="P57"/>
          <cell r="Q57"/>
          <cell r="R57" t="str">
            <v>LBL</v>
          </cell>
          <cell r="S57" t="str">
            <v>Handri Purnama</v>
          </cell>
          <cell r="T57"/>
          <cell r="U57" t="str">
            <v>RFC</v>
          </cell>
          <cell r="V57" t="str">
            <v>12. RFC</v>
          </cell>
          <cell r="W57"/>
          <cell r="X57"/>
          <cell r="Y57"/>
          <cell r="Z57" t="e">
            <v>#N/A</v>
          </cell>
          <cell r="AA57" t="str">
            <v>RFC Done</v>
          </cell>
          <cell r="AB57" t="str">
            <v>RFC Done</v>
          </cell>
          <cell r="AC57"/>
          <cell r="AD57"/>
          <cell r="AE57"/>
          <cell r="AF57"/>
          <cell r="AG57"/>
          <cell r="AH57" t="str">
            <v>MCP</v>
          </cell>
          <cell r="AI57" t="str">
            <v>STIP 1</v>
          </cell>
          <cell r="AJ57" t="str">
            <v>TB</v>
          </cell>
          <cell r="AK57" t="str">
            <v>C</v>
          </cell>
          <cell r="AL57">
            <v>106.73247000000001</v>
          </cell>
          <cell r="AM57">
            <v>-6.3519100000000002</v>
          </cell>
          <cell r="AN57" t="str">
            <v>Jl. Ketapang II RT 07 RW 05 Kel Pamulang Barat Kel Pamulang Barat, Tangerang Selatan</v>
          </cell>
          <cell r="AO57">
            <v>25</v>
          </cell>
          <cell r="AP57" t="str">
            <v>BANTEN</v>
          </cell>
        </row>
        <row r="58">
          <cell r="A58" t="str">
            <v>JAW-BT-CPT-0476</v>
          </cell>
          <cell r="B58">
            <v>30572180031</v>
          </cell>
          <cell r="C58">
            <v>1317501003</v>
          </cell>
          <cell r="D58" t="str">
            <v>JAW-BT-CPT-0476</v>
          </cell>
          <cell r="E58" t="str">
            <v>Pondok Cabe Raya</v>
          </cell>
          <cell r="F58">
            <v>43844</v>
          </cell>
          <cell r="G58" t="str">
            <v>JAN 2020</v>
          </cell>
          <cell r="H58">
            <v>344</v>
          </cell>
          <cell r="I58" t="str">
            <v>JABODETABEK (OUTER)</v>
          </cell>
          <cell r="J58" t="str">
            <v>TANGERANG SELATAN</v>
          </cell>
          <cell r="K58" t="str">
            <v>XL</v>
          </cell>
          <cell r="L58" t="str">
            <v>-</v>
          </cell>
          <cell r="M58"/>
          <cell r="N58"/>
          <cell r="O58"/>
          <cell r="P58"/>
          <cell r="Q58"/>
          <cell r="R58" t="str">
            <v>BNP</v>
          </cell>
          <cell r="S58" t="str">
            <v>Aditya Rachman</v>
          </cell>
          <cell r="T58" t="str">
            <v>18000000/10 tahun</v>
          </cell>
          <cell r="U58" t="str">
            <v>SITAC</v>
          </cell>
          <cell r="V58" t="str">
            <v>08. Realisasi sitac</v>
          </cell>
          <cell r="W58"/>
          <cell r="X58" t="str">
            <v>November</v>
          </cell>
          <cell r="Y58"/>
          <cell r="Z58" t="e">
            <v>#N/A</v>
          </cell>
          <cell r="AA58" t="str">
            <v>IW Clear, Submit ekskalasi Mitra</v>
          </cell>
          <cell r="AB58" t="str">
            <v>Follow UP PIC</v>
          </cell>
          <cell r="AC58"/>
          <cell r="AD58"/>
          <cell r="AE58"/>
          <cell r="AF58"/>
          <cell r="AG58"/>
          <cell r="AH58" t="str">
            <v>MCP</v>
          </cell>
          <cell r="AI58" t="str">
            <v>STIP 1</v>
          </cell>
          <cell r="AJ58" t="str">
            <v>TB</v>
          </cell>
          <cell r="AK58" t="str">
            <v>B</v>
          </cell>
          <cell r="AL58">
            <v>106.76953</v>
          </cell>
          <cell r="AM58">
            <v>-6.3308400000000002</v>
          </cell>
          <cell r="AN58" t="str">
            <v>Jalan Cabe III No. 8 RT 01/RW 05 Kelurahan Pondok cabe, Kecamatan Pamulang, Kota Tangerang Selatan</v>
          </cell>
          <cell r="AO58" t="str">
            <v>20 m</v>
          </cell>
          <cell r="AP58" t="str">
            <v>BANTEN</v>
          </cell>
        </row>
        <row r="59">
          <cell r="A59" t="str">
            <v>JAW-BT-CPT-0463</v>
          </cell>
          <cell r="B59">
            <v>30572440031</v>
          </cell>
          <cell r="C59">
            <v>1317631003</v>
          </cell>
          <cell r="D59" t="str">
            <v>JAW-BT-CPT-0463</v>
          </cell>
          <cell r="E59" t="str">
            <v>UNIVERSITAS TERBUKA PAMULANG</v>
          </cell>
          <cell r="F59">
            <v>43844</v>
          </cell>
          <cell r="G59" t="str">
            <v>JAN 2020</v>
          </cell>
          <cell r="H59">
            <v>344</v>
          </cell>
          <cell r="I59" t="str">
            <v>JABODETABEK (OUTER)</v>
          </cell>
          <cell r="J59" t="str">
            <v>TANGERANG SELATAN</v>
          </cell>
          <cell r="K59" t="str">
            <v>XL</v>
          </cell>
          <cell r="L59" t="str">
            <v>-</v>
          </cell>
          <cell r="M59"/>
          <cell r="N59"/>
          <cell r="O59"/>
          <cell r="P59"/>
          <cell r="Q59"/>
          <cell r="R59" t="str">
            <v>LBL</v>
          </cell>
          <cell r="S59" t="str">
            <v>Handri Purnama</v>
          </cell>
          <cell r="T59"/>
          <cell r="U59" t="str">
            <v>RFC</v>
          </cell>
          <cell r="V59" t="str">
            <v>12. RFC</v>
          </cell>
          <cell r="W59"/>
          <cell r="X59"/>
          <cell r="Y59"/>
          <cell r="Z59" t="e">
            <v>#N/A</v>
          </cell>
          <cell r="AA59" t="str">
            <v>RFC Done</v>
          </cell>
          <cell r="AB59" t="str">
            <v>RFC Done</v>
          </cell>
          <cell r="AC59"/>
          <cell r="AD59"/>
          <cell r="AE59"/>
          <cell r="AF59"/>
          <cell r="AG59"/>
          <cell r="AH59" t="str">
            <v>MCP</v>
          </cell>
          <cell r="AI59" t="str">
            <v>STIP 1</v>
          </cell>
          <cell r="AJ59" t="str">
            <v>TB</v>
          </cell>
          <cell r="AK59" t="str">
            <v>D</v>
          </cell>
          <cell r="AL59" t="str">
            <v>106.759917</v>
          </cell>
          <cell r="AM59" t="str">
            <v>-6.339528</v>
          </cell>
          <cell r="AN59" t="str">
            <v>Jl. Talas III No. 37 Desa Pondok Cabe Ilir Kel. Pamulang, Tangerang Selatan</v>
          </cell>
          <cell r="AO59" t="str">
            <v>20 m</v>
          </cell>
          <cell r="AP59" t="str">
            <v>BANTEN</v>
          </cell>
        </row>
        <row r="60">
          <cell r="A60" t="str">
            <v>JAW-BT-CPT-0460</v>
          </cell>
          <cell r="B60">
            <v>30572410031</v>
          </cell>
          <cell r="C60">
            <v>1317601003</v>
          </cell>
          <cell r="D60" t="str">
            <v>JAW-BT-CPT-0460</v>
          </cell>
          <cell r="E60" t="str">
            <v>VILLA MELATI MAS RAYA</v>
          </cell>
          <cell r="F60">
            <v>43844</v>
          </cell>
          <cell r="G60" t="str">
            <v>JAN 2020</v>
          </cell>
          <cell r="H60">
            <v>344</v>
          </cell>
          <cell r="I60" t="str">
            <v>JABODETABEK (OUTER)</v>
          </cell>
          <cell r="J60" t="str">
            <v>TANGERANG SELATAN</v>
          </cell>
          <cell r="K60" t="str">
            <v>XL</v>
          </cell>
          <cell r="L60" t="str">
            <v>-</v>
          </cell>
          <cell r="M60"/>
          <cell r="N60"/>
          <cell r="O60"/>
          <cell r="P60"/>
          <cell r="Q60"/>
          <cell r="R60" t="str">
            <v>LBL</v>
          </cell>
          <cell r="S60" t="str">
            <v>Handri Purnama</v>
          </cell>
          <cell r="T60"/>
          <cell r="U60" t="str">
            <v>RFC</v>
          </cell>
          <cell r="V60" t="str">
            <v>12. RFC</v>
          </cell>
          <cell r="W60"/>
          <cell r="X60"/>
          <cell r="Y60"/>
          <cell r="Z60" t="e">
            <v>#N/A</v>
          </cell>
          <cell r="AA60" t="str">
            <v>RFC Done</v>
          </cell>
          <cell r="AB60" t="str">
            <v>RFC Done</v>
          </cell>
          <cell r="AC60"/>
          <cell r="AD60"/>
          <cell r="AE60"/>
          <cell r="AF60"/>
          <cell r="AG60"/>
          <cell r="AH60" t="str">
            <v>MCP</v>
          </cell>
          <cell r="AI60" t="str">
            <v>STIP 1</v>
          </cell>
          <cell r="AJ60" t="str">
            <v>TB</v>
          </cell>
          <cell r="AK60" t="str">
            <v>B</v>
          </cell>
          <cell r="AL60" t="str">
            <v>106.6655</v>
          </cell>
          <cell r="AM60" t="str">
            <v>-6.257367</v>
          </cell>
          <cell r="AN60" t="str">
            <v>Jalan Jati RT. 12 RW. 08 Kel. Pondok Jagung Kec. Serpong Utara, Tangerang Selatan</v>
          </cell>
          <cell r="AO60" t="str">
            <v>25 m</v>
          </cell>
          <cell r="AP60" t="str">
            <v>BANTEN</v>
          </cell>
        </row>
        <row r="61">
          <cell r="A61" t="str">
            <v>JAW-BT-CPT-0472</v>
          </cell>
          <cell r="B61">
            <v>30572500031</v>
          </cell>
          <cell r="C61">
            <v>1317691003</v>
          </cell>
          <cell r="D61" t="str">
            <v>JAW-BT-CPT-0472</v>
          </cell>
          <cell r="E61" t="str">
            <v>WIJAYAKUSUMA CEGER</v>
          </cell>
          <cell r="F61">
            <v>43844</v>
          </cell>
          <cell r="G61" t="str">
            <v>JAN 2020</v>
          </cell>
          <cell r="H61">
            <v>344</v>
          </cell>
          <cell r="I61" t="str">
            <v>JABODETABEK (OUTER)</v>
          </cell>
          <cell r="J61" t="str">
            <v>TANGERANG SELATAN</v>
          </cell>
          <cell r="K61" t="str">
            <v>XL</v>
          </cell>
          <cell r="L61" t="str">
            <v>-</v>
          </cell>
          <cell r="M61"/>
          <cell r="N61"/>
          <cell r="O61"/>
          <cell r="P61"/>
          <cell r="Q61"/>
          <cell r="R61" t="str">
            <v>Turangga Pak Dani</v>
          </cell>
          <cell r="S61" t="str">
            <v>Handri Purnama</v>
          </cell>
          <cell r="T61"/>
          <cell r="U61" t="str">
            <v>PRE SITAC</v>
          </cell>
          <cell r="V61" t="str">
            <v>04. Submit Validasi to Operator</v>
          </cell>
          <cell r="W61"/>
          <cell r="X61"/>
          <cell r="Y61"/>
          <cell r="Z61" t="e">
            <v>#N/A</v>
          </cell>
          <cell r="AA61" t="str">
            <v>Warga menolak reason relokasi, lokasi baru dapat proses IW dan BAN</v>
          </cell>
          <cell r="AB61" t="str">
            <v>Pak Jimoy</v>
          </cell>
          <cell r="AC61"/>
          <cell r="AD61" t="str">
            <v>sistem yg lama sudah dp. Perlu ekskalasi lagi atau tidak</v>
          </cell>
          <cell r="AE61"/>
          <cell r="AF61"/>
          <cell r="AG61"/>
          <cell r="AH61" t="str">
            <v>MCP</v>
          </cell>
          <cell r="AI61" t="str">
            <v>STIP 1</v>
          </cell>
          <cell r="AJ61" t="str">
            <v>TB</v>
          </cell>
          <cell r="AK61" t="str">
            <v>C</v>
          </cell>
          <cell r="AL61">
            <v>106.72736999999999</v>
          </cell>
          <cell r="AM61">
            <v>-6.2618200000000002</v>
          </cell>
          <cell r="AN61" t="str">
            <v>RT 01 RW. 11 No. 32 Kel. Jurangmangu Barat Kec. Pondok Aren, Kota Tangerang Selatan, Banten</v>
          </cell>
          <cell r="AO61" t="str">
            <v>25 m</v>
          </cell>
          <cell r="AP61" t="str">
            <v>BANTEN</v>
          </cell>
        </row>
        <row r="62">
          <cell r="A62" t="str">
            <v>JAW-BT-CPT-0468</v>
          </cell>
          <cell r="B62">
            <v>30572480031</v>
          </cell>
          <cell r="C62">
            <v>1317671003</v>
          </cell>
          <cell r="D62" t="str">
            <v>JAW-BT-CPT-0468</v>
          </cell>
          <cell r="E62" t="str">
            <v>GN RAYA CIREUNDEU</v>
          </cell>
          <cell r="F62">
            <v>43844</v>
          </cell>
          <cell r="G62" t="str">
            <v>JAN 2020</v>
          </cell>
          <cell r="H62">
            <v>344</v>
          </cell>
          <cell r="I62" t="str">
            <v>JABODETABEK (OUTER)</v>
          </cell>
          <cell r="J62" t="str">
            <v>TANGERANG SELATAN</v>
          </cell>
          <cell r="K62" t="str">
            <v>XL</v>
          </cell>
          <cell r="L62" t="str">
            <v>-</v>
          </cell>
          <cell r="M62"/>
          <cell r="N62"/>
          <cell r="O62"/>
          <cell r="P62"/>
          <cell r="Q62"/>
          <cell r="R62" t="str">
            <v>Turangga</v>
          </cell>
          <cell r="S62" t="str">
            <v>Aditya Rachaman</v>
          </cell>
          <cell r="T62"/>
          <cell r="U62" t="str">
            <v>RFC</v>
          </cell>
          <cell r="V62" t="str">
            <v>12. RFC</v>
          </cell>
          <cell r="W62"/>
          <cell r="X62"/>
          <cell r="Y62"/>
          <cell r="Z62" t="e">
            <v>#N/A</v>
          </cell>
          <cell r="AA62" t="str">
            <v>RFC Done</v>
          </cell>
          <cell r="AB62" t="str">
            <v>RFC Done</v>
          </cell>
          <cell r="AC62" t="str">
            <v>-</v>
          </cell>
          <cell r="AD62" t="str">
            <v>-</v>
          </cell>
          <cell r="AE62"/>
          <cell r="AF62"/>
          <cell r="AG62"/>
          <cell r="AH62" t="str">
            <v>MCP</v>
          </cell>
          <cell r="AI62" t="str">
            <v>STIP 1</v>
          </cell>
          <cell r="AJ62" t="str">
            <v>MCP</v>
          </cell>
          <cell r="AK62" t="str">
            <v>A</v>
          </cell>
          <cell r="AL62">
            <v>106.76482900000001</v>
          </cell>
          <cell r="AM62" t="str">
            <v>-6.304911</v>
          </cell>
          <cell r="AN62" t="str">
            <v>Jl Gunung Indah V RT. 04 RW 11 Desa Cireundeu Kec. Ciputat Timur, Banten</v>
          </cell>
          <cell r="AO62" t="str">
            <v>20m</v>
          </cell>
          <cell r="AP62" t="str">
            <v>BANTEN</v>
          </cell>
        </row>
        <row r="63">
          <cell r="A63" t="str">
            <v>JAW-BT-CPT-0462</v>
          </cell>
          <cell r="B63">
            <v>30572430031</v>
          </cell>
          <cell r="C63">
            <v>1317621003</v>
          </cell>
          <cell r="D63" t="str">
            <v>JAW-BT-CPT-0462</v>
          </cell>
          <cell r="E63" t="str">
            <v>HIJAU LESTARI PISANGAN</v>
          </cell>
          <cell r="F63">
            <v>43844</v>
          </cell>
          <cell r="G63" t="str">
            <v>JAN 2020</v>
          </cell>
          <cell r="H63">
            <v>344</v>
          </cell>
          <cell r="I63" t="str">
            <v>JABODETABEK (OUTER)</v>
          </cell>
          <cell r="J63" t="str">
            <v>TANGERANG SELATAN</v>
          </cell>
          <cell r="K63" t="str">
            <v>XL</v>
          </cell>
          <cell r="L63" t="str">
            <v>-</v>
          </cell>
          <cell r="M63"/>
          <cell r="N63"/>
          <cell r="O63"/>
          <cell r="P63"/>
          <cell r="Q63"/>
          <cell r="R63" t="str">
            <v>Turangga</v>
          </cell>
          <cell r="S63" t="str">
            <v>Aditya Rachaman</v>
          </cell>
          <cell r="T63"/>
          <cell r="U63" t="str">
            <v>Drop by OPR</v>
          </cell>
          <cell r="V63" t="str">
            <v>Drop by OPR</v>
          </cell>
          <cell r="W63"/>
          <cell r="X63"/>
          <cell r="Y63"/>
          <cell r="Z63" t="e">
            <v>#N/A</v>
          </cell>
          <cell r="AA63" t="str">
            <v>Kandidat A, propose MCP</v>
          </cell>
          <cell r="AB63" t="str">
            <v>Makesure BAN dan IW</v>
          </cell>
          <cell r="AC63" t="str">
            <v>-</v>
          </cell>
          <cell r="AD63" t="str">
            <v>-</v>
          </cell>
          <cell r="AE63"/>
          <cell r="AF63"/>
          <cell r="AG63"/>
          <cell r="AH63"/>
          <cell r="AI63"/>
          <cell r="AJ63"/>
          <cell r="AK63"/>
          <cell r="AL63"/>
          <cell r="AM63"/>
          <cell r="AN63"/>
          <cell r="AO63"/>
          <cell r="AP63"/>
        </row>
        <row r="64">
          <cell r="A64" t="str">
            <v>JAW-BT-CPT-0464</v>
          </cell>
          <cell r="B64">
            <v>30572450031</v>
          </cell>
          <cell r="C64">
            <v>1317641003</v>
          </cell>
          <cell r="D64" t="str">
            <v>JAW-BT-CPT-0464</v>
          </cell>
          <cell r="E64" t="str">
            <v>MENTENG BINTARO</v>
          </cell>
          <cell r="F64">
            <v>43844</v>
          </cell>
          <cell r="G64" t="str">
            <v>JAN 2020</v>
          </cell>
          <cell r="H64">
            <v>344</v>
          </cell>
          <cell r="I64" t="str">
            <v>JABODETABEK (OUTER)</v>
          </cell>
          <cell r="J64" t="str">
            <v>TANGERANG SELATAN</v>
          </cell>
          <cell r="K64" t="str">
            <v>XL</v>
          </cell>
          <cell r="L64" t="str">
            <v>-</v>
          </cell>
          <cell r="M64"/>
          <cell r="N64"/>
          <cell r="O64"/>
          <cell r="P64"/>
          <cell r="Q64"/>
          <cell r="R64" t="str">
            <v>Turangga</v>
          </cell>
          <cell r="S64" t="str">
            <v>Aditya Rachman</v>
          </cell>
          <cell r="T64"/>
          <cell r="U64" t="str">
            <v>PRE SITAC</v>
          </cell>
          <cell r="V64" t="str">
            <v>02. Rehunting</v>
          </cell>
          <cell r="W64"/>
          <cell r="X64"/>
          <cell r="Y64"/>
          <cell r="Z64" t="e">
            <v>#N/A</v>
          </cell>
          <cell r="AA64" t="str">
            <v>Kandidat A, propose MCP, BAN 20JT, IW CLEAR</v>
          </cell>
          <cell r="AB64" t="str">
            <v>Pak jimoy</v>
          </cell>
          <cell r="AC64" t="str">
            <v>-</v>
          </cell>
          <cell r="AD64"/>
          <cell r="AE64"/>
          <cell r="AF64"/>
          <cell r="AG64"/>
          <cell r="AH64"/>
          <cell r="AI64"/>
          <cell r="AJ64"/>
          <cell r="AK64"/>
          <cell r="AL64"/>
          <cell r="AM64"/>
          <cell r="AN64"/>
          <cell r="AO64"/>
          <cell r="AP64"/>
        </row>
        <row r="65">
          <cell r="A65" t="str">
            <v>JAW-BT-CPT-0467</v>
          </cell>
          <cell r="B65">
            <v>30572470031</v>
          </cell>
          <cell r="C65">
            <v>1317661003</v>
          </cell>
          <cell r="D65" t="str">
            <v>JAW-BT-CPT-0467</v>
          </cell>
          <cell r="E65" t="str">
            <v>SITU GINTUNG CIREUNDEU</v>
          </cell>
          <cell r="F65">
            <v>43844</v>
          </cell>
          <cell r="G65" t="str">
            <v>JAN 2020</v>
          </cell>
          <cell r="H65">
            <v>344</v>
          </cell>
          <cell r="I65" t="str">
            <v>JABODETABEK (OUTER)</v>
          </cell>
          <cell r="J65" t="str">
            <v>TANGERANG SELATAN</v>
          </cell>
          <cell r="K65" t="str">
            <v>XL</v>
          </cell>
          <cell r="L65" t="str">
            <v>-</v>
          </cell>
          <cell r="M65"/>
          <cell r="N65"/>
          <cell r="O65"/>
          <cell r="P65"/>
          <cell r="Q65"/>
          <cell r="R65" t="str">
            <v>Turangga</v>
          </cell>
          <cell r="S65" t="str">
            <v>Aditya Rachaman</v>
          </cell>
          <cell r="T65"/>
          <cell r="U65" t="str">
            <v>RFC</v>
          </cell>
          <cell r="V65" t="str">
            <v>12. RFC</v>
          </cell>
          <cell r="W65"/>
          <cell r="X65"/>
          <cell r="Y65"/>
          <cell r="Z65" t="e">
            <v>#N/A</v>
          </cell>
          <cell r="AA65" t="str">
            <v>RFC Done</v>
          </cell>
          <cell r="AB65" t="str">
            <v>RFC Done</v>
          </cell>
          <cell r="AC65" t="str">
            <v>-</v>
          </cell>
          <cell r="AD65" t="str">
            <v>-</v>
          </cell>
          <cell r="AE65"/>
          <cell r="AF65"/>
          <cell r="AG65"/>
          <cell r="AH65" t="str">
            <v>MCP</v>
          </cell>
          <cell r="AI65" t="str">
            <v>STIP 1</v>
          </cell>
          <cell r="AJ65" t="str">
            <v>TB</v>
          </cell>
          <cell r="AK65" t="str">
            <v>E</v>
          </cell>
          <cell r="AL65" t="str">
            <v>106.76260</v>
          </cell>
          <cell r="AM65" t="str">
            <v>-6.30095</v>
          </cell>
          <cell r="AN65" t="str">
            <v>Jl. Situ Gintung RT. 01 RW. 08 Kel. Cireundeu Kec. Ciputat Timur</v>
          </cell>
          <cell r="AO65">
            <v>20</v>
          </cell>
          <cell r="AP65" t="str">
            <v>BANTEN</v>
          </cell>
        </row>
        <row r="66">
          <cell r="A66" t="str">
            <v>ZJKT_5207</v>
          </cell>
          <cell r="B66">
            <v>230579850231</v>
          </cell>
          <cell r="C66">
            <v>1128011023</v>
          </cell>
          <cell r="D66" t="str">
            <v>ZJKT_5207</v>
          </cell>
          <cell r="E66" t="str">
            <v>TEGAL ALUR KALI DERES</v>
          </cell>
          <cell r="F66">
            <v>43871</v>
          </cell>
          <cell r="G66" t="str">
            <v>FEB 2020</v>
          </cell>
          <cell r="H66">
            <v>317</v>
          </cell>
          <cell r="I66" t="str">
            <v>JABODETABEK (INNER)</v>
          </cell>
          <cell r="J66" t="str">
            <v>JAKARTA BARAT</v>
          </cell>
          <cell r="K66" t="str">
            <v>SMARTFREN</v>
          </cell>
          <cell r="L66" t="str">
            <v>-</v>
          </cell>
          <cell r="M66" t="str">
            <v>A</v>
          </cell>
          <cell r="N66"/>
          <cell r="O66"/>
          <cell r="P66"/>
          <cell r="Q66"/>
          <cell r="R66" t="str">
            <v>KLS</v>
          </cell>
          <cell r="S66" t="str">
            <v>Aditya Rachaman</v>
          </cell>
          <cell r="T66"/>
          <cell r="U66" t="str">
            <v>PRE SITAC</v>
          </cell>
          <cell r="V66" t="str">
            <v>04. Review TNP</v>
          </cell>
          <cell r="W66"/>
          <cell r="X66"/>
          <cell r="Y66"/>
          <cell r="Z66" t="e">
            <v>#N/A</v>
          </cell>
          <cell r="AA66" t="str">
            <v>RF Ok, need panoramic by drone</v>
          </cell>
          <cell r="AB66" t="str">
            <v>panoramic by drone</v>
          </cell>
          <cell r="AC66"/>
          <cell r="AD66"/>
          <cell r="AE66"/>
          <cell r="AF66"/>
          <cell r="AG66"/>
          <cell r="AH66" t="str">
            <v>MCP</v>
          </cell>
          <cell r="AI66" t="str">
            <v>STIP 1</v>
          </cell>
          <cell r="AJ66" t="str">
            <v>TB</v>
          </cell>
          <cell r="AK66" t="str">
            <v>A</v>
          </cell>
          <cell r="AL66" t="str">
            <v>106.71122</v>
          </cell>
          <cell r="AM66" t="str">
            <v>-6.11359</v>
          </cell>
          <cell r="AN66" t="str">
            <v>Kel. Tegal Alur Kec. Kalideres, Jakarta Barat</v>
          </cell>
          <cell r="AO66" t="str">
            <v>20 m</v>
          </cell>
          <cell r="AP66" t="str">
            <v>DKI Jakarta</v>
          </cell>
        </row>
        <row r="67">
          <cell r="A67"/>
          <cell r="B67">
            <v>230580720231</v>
          </cell>
          <cell r="C67">
            <v>1317991023</v>
          </cell>
          <cell r="D67" t="str">
            <v>ZJKT2_6074</v>
          </cell>
          <cell r="E67" t="str">
            <v>KARANGKEPUH BOJONEGARA</v>
          </cell>
          <cell r="F67">
            <v>43872</v>
          </cell>
          <cell r="G67" t="str">
            <v>FEB 2020</v>
          </cell>
          <cell r="H67">
            <v>316</v>
          </cell>
          <cell r="I67" t="str">
            <v>JABODETABEK (OUTER)</v>
          </cell>
          <cell r="J67" t="str">
            <v>SERANG</v>
          </cell>
          <cell r="K67" t="str">
            <v>SMARTFREN</v>
          </cell>
          <cell r="L67" t="str">
            <v>-</v>
          </cell>
          <cell r="M67"/>
          <cell r="N67"/>
          <cell r="O67"/>
          <cell r="P67"/>
          <cell r="Q67"/>
          <cell r="R67" t="str">
            <v>BNP</v>
          </cell>
          <cell r="S67" t="str">
            <v>Aditya Rachaman</v>
          </cell>
          <cell r="T67"/>
          <cell r="U67" t="str">
            <v>PRE SITAC</v>
          </cell>
          <cell r="V67" t="str">
            <v>03. Review RNP</v>
          </cell>
          <cell r="W67"/>
          <cell r="X67"/>
          <cell r="Y67"/>
          <cell r="Z67" t="e">
            <v>#N/A</v>
          </cell>
          <cell r="AA67" t="str">
            <v>Terdapat arahan baru dari SF Longlat  (-5.976365 106.081343 ) Cand A,BAN 17jt/thn,Potensi IW 80% ( waiting Validasi ), Terdapat arahan baru kand B, Salah NOM</v>
          </cell>
          <cell r="AB67" t="str">
            <v>Rehunting arahan baru, Kand B OK, Proses BAN dan IW</v>
          </cell>
          <cell r="AC67"/>
          <cell r="AD67"/>
          <cell r="AE67"/>
          <cell r="AF67"/>
          <cell r="AG67"/>
          <cell r="AH67"/>
          <cell r="AI67"/>
          <cell r="AJ67"/>
          <cell r="AK67"/>
          <cell r="AL67"/>
          <cell r="AM67"/>
          <cell r="AN67"/>
          <cell r="AO67"/>
          <cell r="AP67"/>
        </row>
        <row r="68">
          <cell r="A68" t="str">
            <v>ZJKT_5552</v>
          </cell>
          <cell r="B68">
            <v>230560240231</v>
          </cell>
          <cell r="C68">
            <v>1317261023</v>
          </cell>
          <cell r="D68" t="str">
            <v>site 1869</v>
          </cell>
          <cell r="E68" t="str">
            <v>SEPATAN TANGERANG</v>
          </cell>
          <cell r="F68">
            <v>43829</v>
          </cell>
          <cell r="G68" t="str">
            <v>DES 2019</v>
          </cell>
          <cell r="H68">
            <v>359</v>
          </cell>
          <cell r="I68" t="str">
            <v>JABODETABEK (OUTER)</v>
          </cell>
          <cell r="J68" t="str">
            <v>TANGERANG</v>
          </cell>
          <cell r="K68" t="str">
            <v>SMARTFREN</v>
          </cell>
          <cell r="L68" t="str">
            <v>-</v>
          </cell>
          <cell r="M68"/>
          <cell r="N68"/>
          <cell r="O68"/>
          <cell r="P68"/>
          <cell r="Q68"/>
          <cell r="R68" t="str">
            <v>BNP</v>
          </cell>
          <cell r="S68" t="str">
            <v>Aditya Rachaman</v>
          </cell>
          <cell r="T68"/>
          <cell r="U68" t="str">
            <v>PRE SITAC</v>
          </cell>
          <cell r="V68" t="str">
            <v>02. Rehunting</v>
          </cell>
          <cell r="W68"/>
          <cell r="X68"/>
          <cell r="Y68"/>
          <cell r="Z68" t="e">
            <v>#N/A</v>
          </cell>
          <cell r="AA68" t="str">
            <v>Rehunting kandidat D arahan baru, Kand A,B,C harga Sewa tinggi,pengajuan BA Cancel dari BNP</v>
          </cell>
          <cell r="AB68" t="str">
            <v>Submit kandidat D 26 feb 2020</v>
          </cell>
          <cell r="AC68" t="str">
            <v>-</v>
          </cell>
          <cell r="AD68" t="str">
            <v>-</v>
          </cell>
          <cell r="AE68"/>
          <cell r="AF68"/>
          <cell r="AG68"/>
          <cell r="AH68" t="str">
            <v>NEW BUILD</v>
          </cell>
          <cell r="AI68" t="str">
            <v>STIP 1</v>
          </cell>
          <cell r="AJ68" t="str">
            <v>TB</v>
          </cell>
          <cell r="AK68" t="str">
            <v>E</v>
          </cell>
          <cell r="AL68" t="str">
            <v>106.58908</v>
          </cell>
          <cell r="AM68" t="str">
            <v>-6.14674</v>
          </cell>
          <cell r="AN68" t="str">
            <v>Kp.cadas RT.01 RW.01  Desa Karet Kecamatan Sepatan Kabupaten Tangerang</v>
          </cell>
          <cell r="AO68" t="str">
            <v>42 m</v>
          </cell>
          <cell r="AP68" t="str">
            <v>BANTEN</v>
          </cell>
        </row>
        <row r="69">
          <cell r="A69" t="str">
            <v>JAW-BT-TGR-0022</v>
          </cell>
          <cell r="B69">
            <v>30572010031</v>
          </cell>
          <cell r="C69">
            <v>1317401003</v>
          </cell>
          <cell r="D69" t="str">
            <v>JAW-BT-TGR-0022</v>
          </cell>
          <cell r="E69" t="str">
            <v>Taman Kota Tangerang</v>
          </cell>
          <cell r="F69">
            <v>43844</v>
          </cell>
          <cell r="G69" t="str">
            <v>JAN 2020</v>
          </cell>
          <cell r="H69">
            <v>344</v>
          </cell>
          <cell r="I69" t="str">
            <v>JABODETABEK (OUTER)</v>
          </cell>
          <cell r="J69" t="str">
            <v>TANGERANG</v>
          </cell>
          <cell r="K69" t="str">
            <v>XL</v>
          </cell>
          <cell r="L69" t="str">
            <v>-</v>
          </cell>
          <cell r="M69" t="str">
            <v>B</v>
          </cell>
          <cell r="N69"/>
          <cell r="O69"/>
          <cell r="P69"/>
          <cell r="Q69"/>
          <cell r="R69" t="str">
            <v>BNP</v>
          </cell>
          <cell r="S69" t="str">
            <v>Aditya Rachman</v>
          </cell>
          <cell r="T69"/>
          <cell r="U69" t="str">
            <v>PRE SITAC</v>
          </cell>
          <cell r="V69" t="str">
            <v>02. Rehunting</v>
          </cell>
          <cell r="W69"/>
          <cell r="X69"/>
          <cell r="Y69"/>
          <cell r="Z69" t="e">
            <v>#N/A</v>
          </cell>
          <cell r="AA69" t="str">
            <v>Kandidat A NOK, rehunting kand B. Return by Datatel</v>
          </cell>
          <cell r="AB69" t="str">
            <v>Follow UP MKT reloct NOM</v>
          </cell>
          <cell r="AC69" t="str">
            <v>-</v>
          </cell>
          <cell r="AD69"/>
          <cell r="AE69"/>
          <cell r="AF69"/>
          <cell r="AG69"/>
          <cell r="AH69"/>
          <cell r="AI69"/>
          <cell r="AJ69"/>
          <cell r="AK69"/>
          <cell r="AL69"/>
          <cell r="AM69"/>
          <cell r="AN69"/>
          <cell r="AO69"/>
          <cell r="AP69"/>
        </row>
        <row r="70">
          <cell r="A70" t="str">
            <v>JAW-JB-CBI-0085</v>
          </cell>
          <cell r="B70">
            <v>30572090031</v>
          </cell>
          <cell r="C70">
            <v>1260901003</v>
          </cell>
          <cell r="D70" t="str">
            <v>JAW-JB-CBI-0085</v>
          </cell>
          <cell r="E70" t="str">
            <v>Cilliwung Pondok Rajeg</v>
          </cell>
          <cell r="F70">
            <v>43844</v>
          </cell>
          <cell r="G70" t="str">
            <v>JAN 2020</v>
          </cell>
          <cell r="H70">
            <v>344</v>
          </cell>
          <cell r="I70" t="str">
            <v>JABODETABEK (OUTER)</v>
          </cell>
          <cell r="J70" t="str">
            <v>BOGOR</v>
          </cell>
          <cell r="K70" t="str">
            <v>XL</v>
          </cell>
          <cell r="L70" t="str">
            <v>-</v>
          </cell>
          <cell r="M70" t="str">
            <v>B</v>
          </cell>
          <cell r="N70"/>
          <cell r="O70"/>
          <cell r="P70"/>
          <cell r="Q70"/>
          <cell r="R70" t="str">
            <v>BNP</v>
          </cell>
          <cell r="S70" t="str">
            <v>Aditya Rachaman</v>
          </cell>
          <cell r="T70"/>
          <cell r="U70" t="str">
            <v>RFC</v>
          </cell>
          <cell r="V70" t="str">
            <v>12. RFC</v>
          </cell>
          <cell r="W70"/>
          <cell r="X70"/>
          <cell r="Y70"/>
          <cell r="Z70" t="e">
            <v>#N/A</v>
          </cell>
          <cell r="AA70" t="str">
            <v>RFC Done</v>
          </cell>
          <cell r="AB70" t="str">
            <v>RFC Done</v>
          </cell>
          <cell r="AC70" t="str">
            <v>-</v>
          </cell>
          <cell r="AD70" t="str">
            <v>-</v>
          </cell>
          <cell r="AE70"/>
          <cell r="AF70"/>
          <cell r="AG70"/>
          <cell r="AH70" t="str">
            <v>NEW BUILD</v>
          </cell>
          <cell r="AI70" t="str">
            <v>STIP 1</v>
          </cell>
          <cell r="AJ70" t="str">
            <v>TB</v>
          </cell>
          <cell r="AK70" t="str">
            <v>C</v>
          </cell>
          <cell r="AL70" t="str">
            <v>106.81956</v>
          </cell>
          <cell r="AM70" t="str">
            <v>-6.46290</v>
          </cell>
          <cell r="AN70" t="str">
            <v>Jl. Penjara Pondok Rajeg RT. 01 RW. 05 Kel. Pondok Rajeg Kec. Cibinong Kab. Bogor</v>
          </cell>
          <cell r="AO70" t="str">
            <v>42m</v>
          </cell>
          <cell r="AP70" t="str">
            <v>BOGOR</v>
          </cell>
        </row>
        <row r="71">
          <cell r="A71" t="str">
            <v>JAW-BT-TGR-0041</v>
          </cell>
          <cell r="B71">
            <v>30573470031</v>
          </cell>
          <cell r="C71">
            <v>1317851003</v>
          </cell>
          <cell r="D71" t="str">
            <v>JAW-BT-TGR-0041</v>
          </cell>
          <cell r="E71" t="str">
            <v>BELIMBING KOSAMBI</v>
          </cell>
          <cell r="F71">
            <v>43846</v>
          </cell>
          <cell r="G71" t="str">
            <v>JAN 2020</v>
          </cell>
          <cell r="H71">
            <v>342</v>
          </cell>
          <cell r="I71" t="str">
            <v>JABODETABEK (OUTER)</v>
          </cell>
          <cell r="J71" t="str">
            <v>TANGERANG</v>
          </cell>
          <cell r="K71" t="str">
            <v>XL</v>
          </cell>
          <cell r="L71" t="str">
            <v>-</v>
          </cell>
          <cell r="M71"/>
          <cell r="N71"/>
          <cell r="O71"/>
          <cell r="P71"/>
          <cell r="Q71"/>
          <cell r="R71" t="str">
            <v>DATATEL</v>
          </cell>
          <cell r="S71" t="str">
            <v>Handri Purnama</v>
          </cell>
          <cell r="T71"/>
          <cell r="U71" t="str">
            <v>RFC</v>
          </cell>
          <cell r="V71" t="str">
            <v>12. RFC</v>
          </cell>
          <cell r="W71"/>
          <cell r="X71"/>
          <cell r="Y71"/>
          <cell r="Z71" t="e">
            <v>#N/A</v>
          </cell>
          <cell r="AA71" t="str">
            <v>RFC Done</v>
          </cell>
          <cell r="AB71" t="str">
            <v>RFC Done</v>
          </cell>
          <cell r="AC71"/>
          <cell r="AD71"/>
          <cell r="AE71"/>
          <cell r="AF71"/>
          <cell r="AG71"/>
          <cell r="AH71" t="str">
            <v>NEW BUILD</v>
          </cell>
          <cell r="AI71" t="str">
            <v>STIP 1</v>
          </cell>
          <cell r="AJ71" t="str">
            <v>TB</v>
          </cell>
          <cell r="AK71" t="str">
            <v>C</v>
          </cell>
          <cell r="AL71">
            <v>106.67674</v>
          </cell>
          <cell r="AM71">
            <v>-6.0828800000000003</v>
          </cell>
          <cell r="AN71" t="str">
            <v xml:space="preserve">Kp Belimbing Kel. Belimbing Kab. Tangerang, </v>
          </cell>
          <cell r="AO71" t="str">
            <v>52 m</v>
          </cell>
          <cell r="AP71" t="str">
            <v>Banten</v>
          </cell>
        </row>
        <row r="72">
          <cell r="A72" t="str">
            <v>JAW-BT-TGR-0028</v>
          </cell>
          <cell r="B72">
            <v>30572320031</v>
          </cell>
          <cell r="C72">
            <v>1317581003</v>
          </cell>
          <cell r="D72" t="str">
            <v>JAW-BT-TGR-0028</v>
          </cell>
          <cell r="E72" t="str">
            <v>Jalan Raya Korelet</v>
          </cell>
          <cell r="F72">
            <v>43844</v>
          </cell>
          <cell r="G72" t="str">
            <v>JAN 2020</v>
          </cell>
          <cell r="H72">
            <v>344</v>
          </cell>
          <cell r="I72" t="str">
            <v>JABODETABEK (OUTER)</v>
          </cell>
          <cell r="J72" t="str">
            <v>TANGERANG</v>
          </cell>
          <cell r="K72" t="str">
            <v>XL</v>
          </cell>
          <cell r="L72" t="str">
            <v>-</v>
          </cell>
          <cell r="M72"/>
          <cell r="N72"/>
          <cell r="O72"/>
          <cell r="P72"/>
          <cell r="Q72"/>
          <cell r="R72" t="str">
            <v>NY MITRA</v>
          </cell>
          <cell r="S72" t="str">
            <v>Handri Purnama</v>
          </cell>
          <cell r="T72"/>
          <cell r="U72" t="str">
            <v>RFC</v>
          </cell>
          <cell r="V72" t="str">
            <v>12. RFC</v>
          </cell>
          <cell r="W72"/>
          <cell r="X72"/>
          <cell r="Y72"/>
          <cell r="Z72" t="e">
            <v>#N/A</v>
          </cell>
          <cell r="AA72" t="str">
            <v>RFC Done</v>
          </cell>
          <cell r="AB72" t="str">
            <v>RFC Done</v>
          </cell>
          <cell r="AC72" t="str">
            <v>TBD</v>
          </cell>
          <cell r="AD72" t="str">
            <v>TBD</v>
          </cell>
          <cell r="AE72"/>
          <cell r="AF72"/>
          <cell r="AG72"/>
          <cell r="AH72" t="str">
            <v>NEW BUILD</v>
          </cell>
          <cell r="AI72" t="str">
            <v>STIP 1</v>
          </cell>
          <cell r="AJ72" t="str">
            <v>TB</v>
          </cell>
          <cell r="AK72" t="str">
            <v>D</v>
          </cell>
          <cell r="AL72">
            <v>106.5386</v>
          </cell>
          <cell r="AM72">
            <v>-6.2892099999999997</v>
          </cell>
          <cell r="AN72" t="str">
            <v>Raya Korelet Kp. Serdang RT. 08 RW. 04 Kel. Serdang Kulon Kec. Panongan, Kab. Tangerang</v>
          </cell>
          <cell r="AO72" t="str">
            <v>42m</v>
          </cell>
          <cell r="AP72" t="str">
            <v>BANTEN</v>
          </cell>
        </row>
        <row r="73">
          <cell r="A73" t="str">
            <v>JAW-BT-TNG-1457</v>
          </cell>
          <cell r="B73">
            <v>30572030031</v>
          </cell>
          <cell r="C73">
            <v>1317421003</v>
          </cell>
          <cell r="D73" t="str">
            <v>JAW-BT-TNG-1457</v>
          </cell>
          <cell r="E73" t="str">
            <v>Kedaung Wetan Neglasari</v>
          </cell>
          <cell r="F73">
            <v>43844</v>
          </cell>
          <cell r="G73" t="str">
            <v>JAN 2020</v>
          </cell>
          <cell r="H73">
            <v>344</v>
          </cell>
          <cell r="I73" t="str">
            <v>JABODETABEK (INNER)</v>
          </cell>
          <cell r="J73" t="str">
            <v>KOTA TANGERANG</v>
          </cell>
          <cell r="K73" t="str">
            <v>XL</v>
          </cell>
          <cell r="L73" t="str">
            <v>-</v>
          </cell>
          <cell r="M73"/>
          <cell r="N73"/>
          <cell r="O73"/>
          <cell r="P73"/>
          <cell r="Q73"/>
          <cell r="R73" t="str">
            <v>MIT</v>
          </cell>
          <cell r="S73" t="str">
            <v>Handri Purnama</v>
          </cell>
          <cell r="T73"/>
          <cell r="U73" t="str">
            <v>PRE SITAC</v>
          </cell>
          <cell r="V73" t="str">
            <v>02. Rehunting</v>
          </cell>
          <cell r="W73"/>
          <cell r="X73"/>
          <cell r="Y73"/>
          <cell r="Z73" t="e">
            <v>#N/A</v>
          </cell>
          <cell r="AA73" t="str">
            <v>Kandidat A (outcell) reject IW, rehunting kandidat B incell (-6.129080; 106.625528)</v>
          </cell>
          <cell r="AB73" t="str">
            <v>Follow UP MKT reloct NOM</v>
          </cell>
          <cell r="AC73" t="str">
            <v>-</v>
          </cell>
          <cell r="AD73"/>
          <cell r="AE73"/>
          <cell r="AF73"/>
          <cell r="AG73"/>
          <cell r="AH73" t="str">
            <v>MCP 20</v>
          </cell>
          <cell r="AI73" t="str">
            <v>STIP 1</v>
          </cell>
          <cell r="AJ73" t="str">
            <v>TB</v>
          </cell>
          <cell r="AK73" t="str">
            <v>C</v>
          </cell>
          <cell r="AL73">
            <v>106.62608</v>
          </cell>
          <cell r="AM73">
            <v>-6.1250499999999999</v>
          </cell>
          <cell r="AN73" t="str">
            <v>Kedaung Wetan RT. 03 RW. 02 Kel. Kedaung Wetan, Kota Tangerang</v>
          </cell>
          <cell r="AO73" t="str">
            <v>20 m</v>
          </cell>
          <cell r="AP73" t="str">
            <v>BANTEN</v>
          </cell>
        </row>
        <row r="74">
          <cell r="A74" t="str">
            <v>JAK0742</v>
          </cell>
          <cell r="B74">
            <v>23054786231</v>
          </cell>
          <cell r="C74">
            <v>125932123</v>
          </cell>
          <cell r="D74" t="str">
            <v>JAK0742</v>
          </cell>
          <cell r="E74" t="str">
            <v>DEPOK CIMANGGIS</v>
          </cell>
          <cell r="F74">
            <v>43710</v>
          </cell>
          <cell r="G74" t="str">
            <v>SEPT 2019</v>
          </cell>
          <cell r="H74">
            <v>478</v>
          </cell>
          <cell r="I74" t="str">
            <v>JABODETABEK (INNER)</v>
          </cell>
          <cell r="J74" t="str">
            <v>KOTA DEPOK</v>
          </cell>
          <cell r="K74" t="str">
            <v>SMARTFREN</v>
          </cell>
          <cell r="L74" t="str">
            <v>-</v>
          </cell>
          <cell r="M74"/>
          <cell r="N74">
            <v>-6.3634959999999996</v>
          </cell>
          <cell r="O74">
            <v>-6.3634959999999996</v>
          </cell>
          <cell r="P74">
            <v>106.853126</v>
          </cell>
          <cell r="Q74">
            <v>106.853126</v>
          </cell>
          <cell r="R74" t="str">
            <v>NY MITRA</v>
          </cell>
          <cell r="S74"/>
          <cell r="T74"/>
          <cell r="U74" t="str">
            <v>PRE SITAC</v>
          </cell>
          <cell r="V74" t="str">
            <v>02. Rehunting</v>
          </cell>
          <cell r="W74"/>
          <cell r="X74"/>
          <cell r="Y74"/>
          <cell r="Z74" t="e">
            <v>#N/A</v>
          </cell>
          <cell r="AA74" t="str">
            <v>06.03 : Rehunting oleh sitac officer 07.03
kandidat masjid NOK, rehunting. Hard candidate. Return by DSR</v>
          </cell>
          <cell r="AB74" t="str">
            <v>Submit BA cancel pekerjaan 20 Februari 2020</v>
          </cell>
          <cell r="AC74" t="str">
            <v>-</v>
          </cell>
          <cell r="AD74" t="str">
            <v>-</v>
          </cell>
          <cell r="AE74" t="str">
            <v xml:space="preserve">28.11.19 : rehunting 
11.11.19 : rehunting, take over mitra
04.11.19 : rehunting kandidat F
24.10.19 : kandidat E NOK, near eksisting, rehunting
18.10.19 : submit kandidat E
10.10.19 : kandidat C dan D tetap NOK, rehunting kandidat E
26.09.19 : kandidat D dan D NOK, submit kembali propose reheight 42m
20.09.19 : submit kandidat C, D, provide JR
14.09.19 : kandidat A dan B gagal IW, rehunting
11.09.19 : harga sewa lahan kandidat B 15jt/tahun, skema 2+3+5+5+5  plan soswar 14 Sept
09.09.19 : harga sewa lahan kandidat A 20jt/tahun, LL meminta skema sewa lahan 11 tahun, follow up kandidat B
05.09.19 : approve TNP oleh Pak Olly
04.09.19 : approve RNP oleh Pak Parlin
</v>
          </cell>
          <cell r="AF74"/>
          <cell r="AG74"/>
          <cell r="AH74"/>
          <cell r="AI74"/>
          <cell r="AJ74"/>
          <cell r="AK74"/>
          <cell r="AL74"/>
          <cell r="AM74"/>
          <cell r="AN74"/>
          <cell r="AO74"/>
          <cell r="AP74"/>
        </row>
        <row r="75">
          <cell r="A75" t="str">
            <v>JAW-BT-TGR-0023</v>
          </cell>
          <cell r="B75">
            <v>30571910031</v>
          </cell>
          <cell r="C75">
            <v>1317371003</v>
          </cell>
          <cell r="D75" t="str">
            <v>JAW-BT-TGR-0023</v>
          </cell>
          <cell r="E75" t="str">
            <v>Dukuh Cukanggalih</v>
          </cell>
          <cell r="F75">
            <v>43844</v>
          </cell>
          <cell r="G75" t="str">
            <v>JAN 2020</v>
          </cell>
          <cell r="H75">
            <v>344</v>
          </cell>
          <cell r="I75" t="str">
            <v>JABODETABEK (OUTER)</v>
          </cell>
          <cell r="J75" t="str">
            <v>TANGERANG</v>
          </cell>
          <cell r="K75" t="str">
            <v>XL</v>
          </cell>
          <cell r="L75" t="str">
            <v>-</v>
          </cell>
          <cell r="M75" t="str">
            <v>C</v>
          </cell>
          <cell r="N75"/>
          <cell r="O75"/>
          <cell r="P75"/>
          <cell r="Q75"/>
          <cell r="R75" t="str">
            <v>BNP</v>
          </cell>
          <cell r="S75" t="str">
            <v>Aditya Rachaman</v>
          </cell>
          <cell r="T75"/>
          <cell r="U75" t="str">
            <v>RFC</v>
          </cell>
          <cell r="V75" t="str">
            <v>12. RFC</v>
          </cell>
          <cell r="W75"/>
          <cell r="X75"/>
          <cell r="Y75"/>
          <cell r="Z75" t="e">
            <v>#N/A</v>
          </cell>
          <cell r="AA75" t="str">
            <v>RFC Done</v>
          </cell>
          <cell r="AB75" t="str">
            <v>RFC Done</v>
          </cell>
          <cell r="AC75" t="str">
            <v>-</v>
          </cell>
          <cell r="AD75" t="str">
            <v>-</v>
          </cell>
          <cell r="AE75"/>
          <cell r="AF75"/>
          <cell r="AG75"/>
          <cell r="AH75" t="str">
            <v>NEW BUILD</v>
          </cell>
          <cell r="AI75" t="str">
            <v>STIP 1</v>
          </cell>
          <cell r="AJ75" t="str">
            <v>TB</v>
          </cell>
          <cell r="AK75" t="str">
            <v>C</v>
          </cell>
          <cell r="AL75" t="str">
            <v>106.543347</v>
          </cell>
          <cell r="AM75" t="str">
            <v>-6.243058</v>
          </cell>
          <cell r="AN75" t="str">
            <v>Jl Ranca balok RT. 05 RW. 13 Desa Cukanggalih Kec. Curug Kab. Tangerang</v>
          </cell>
          <cell r="AO75" t="str">
            <v>42 m</v>
          </cell>
          <cell r="AP75" t="str">
            <v>BANTEN</v>
          </cell>
        </row>
        <row r="76">
          <cell r="A76" t="str">
            <v>JAK0371</v>
          </cell>
          <cell r="B76">
            <v>230553950231</v>
          </cell>
          <cell r="C76">
            <v>1127011023</v>
          </cell>
          <cell r="D76" t="str">
            <v>ZJKT2_5301</v>
          </cell>
          <cell r="E76" t="str">
            <v>DURI KOSAMBI 371</v>
          </cell>
          <cell r="F76">
            <v>43789</v>
          </cell>
          <cell r="G76" t="str">
            <v>NOV 2019</v>
          </cell>
          <cell r="H76">
            <v>399</v>
          </cell>
          <cell r="I76" t="str">
            <v>JABODETABEK (INNER)</v>
          </cell>
          <cell r="J76" t="str">
            <v>JAKARTA BARAT</v>
          </cell>
          <cell r="K76" t="str">
            <v>SMARTFREN</v>
          </cell>
          <cell r="L76" t="str">
            <v>-</v>
          </cell>
          <cell r="M76"/>
          <cell r="N76"/>
          <cell r="O76"/>
          <cell r="P76"/>
          <cell r="Q76"/>
          <cell r="R76" t="str">
            <v>KLS</v>
          </cell>
          <cell r="S76" t="str">
            <v>Aditya Rachaman</v>
          </cell>
          <cell r="T76"/>
          <cell r="U76" t="str">
            <v>PRE SITAC</v>
          </cell>
          <cell r="V76" t="str">
            <v>03. Review RNP</v>
          </cell>
          <cell r="W76"/>
          <cell r="X76"/>
          <cell r="Y76"/>
          <cell r="Z76" t="e">
            <v>#N/A</v>
          </cell>
          <cell r="AA76" t="str">
            <v>Validasi Kand B
Reject camat, rehunting kandidat B</v>
          </cell>
          <cell r="AB76" t="str">
            <v>Submit Validasi Kand. B</v>
          </cell>
          <cell r="AC76"/>
          <cell r="AD76"/>
          <cell r="AE76" t="str">
            <v>28.11.19 : kandidat A NOK, rehunting kandidat B
25.11.19 : hunting kandidat A</v>
          </cell>
          <cell r="AF76"/>
          <cell r="AG76"/>
          <cell r="AH76"/>
          <cell r="AI76"/>
          <cell r="AJ76"/>
          <cell r="AK76"/>
          <cell r="AL76"/>
          <cell r="AM76"/>
          <cell r="AN76"/>
          <cell r="AO76"/>
          <cell r="AP76"/>
        </row>
        <row r="77">
          <cell r="A77" t="str">
            <v>JAW-JK-CKG-0436</v>
          </cell>
          <cell r="B77">
            <v>30573630031</v>
          </cell>
          <cell r="C77">
            <v>1127951003</v>
          </cell>
          <cell r="D77" t="str">
            <v>JAW-JK-CKG-0436</v>
          </cell>
          <cell r="E77" t="str">
            <v>Rawabola Kelapa Dua</v>
          </cell>
          <cell r="F77">
            <v>43847</v>
          </cell>
          <cell r="G77" t="str">
            <v>JAN 2020</v>
          </cell>
          <cell r="H77">
            <v>341</v>
          </cell>
          <cell r="I77" t="str">
            <v>JABODETABEK (INNER)</v>
          </cell>
          <cell r="J77" t="str">
            <v>JAKARTA TIMUR</v>
          </cell>
          <cell r="K77" t="str">
            <v>XL</v>
          </cell>
          <cell r="L77" t="str">
            <v>-</v>
          </cell>
          <cell r="M77" t="str">
            <v>A</v>
          </cell>
          <cell r="N77"/>
          <cell r="O77"/>
          <cell r="P77"/>
          <cell r="Q77"/>
          <cell r="R77" t="str">
            <v>KLS</v>
          </cell>
          <cell r="S77" t="str">
            <v>Aditya Rachaman</v>
          </cell>
          <cell r="T77"/>
          <cell r="U77" t="str">
            <v>Drop by OPR</v>
          </cell>
          <cell r="V77" t="str">
            <v>Drop by OPR</v>
          </cell>
          <cell r="W77"/>
          <cell r="X77"/>
          <cell r="Y77"/>
          <cell r="Z77" t="e">
            <v>#N/A</v>
          </cell>
          <cell r="AA77" t="str">
            <v>Drop By Operator</v>
          </cell>
          <cell r="AB77" t="str">
            <v>Drop By Operator</v>
          </cell>
          <cell r="AC77"/>
          <cell r="AD77"/>
          <cell r="AE77"/>
          <cell r="AF77"/>
          <cell r="AG77"/>
          <cell r="AH77"/>
          <cell r="AI77"/>
          <cell r="AJ77"/>
          <cell r="AK77"/>
          <cell r="AL77"/>
          <cell r="AM77"/>
          <cell r="AN77"/>
          <cell r="AO77"/>
          <cell r="AP77"/>
        </row>
        <row r="78">
          <cell r="A78" t="str">
            <v>JAW-JK-CKG-0668</v>
          </cell>
          <cell r="B78">
            <v>30572350031</v>
          </cell>
          <cell r="C78">
            <v>1127861003</v>
          </cell>
          <cell r="D78" t="str">
            <v>JAW-JK-CKG-0668</v>
          </cell>
          <cell r="E78" t="str">
            <v>Gang Induk Pasar Rebo</v>
          </cell>
          <cell r="F78">
            <v>43844</v>
          </cell>
          <cell r="G78" t="str">
            <v>JAN 2020</v>
          </cell>
          <cell r="H78">
            <v>344</v>
          </cell>
          <cell r="I78" t="str">
            <v>JABODETABEK (INNER)</v>
          </cell>
          <cell r="J78" t="str">
            <v>JAKARTA TIMUR</v>
          </cell>
          <cell r="K78" t="str">
            <v>XL</v>
          </cell>
          <cell r="L78" t="str">
            <v>-</v>
          </cell>
          <cell r="M78"/>
          <cell r="N78"/>
          <cell r="O78"/>
          <cell r="P78"/>
          <cell r="Q78"/>
          <cell r="R78" t="str">
            <v>KLS</v>
          </cell>
          <cell r="S78" t="str">
            <v>Aditya Rachaman</v>
          </cell>
          <cell r="T78"/>
          <cell r="U78" t="str">
            <v>RFC</v>
          </cell>
          <cell r="V78" t="str">
            <v>12. RFC</v>
          </cell>
          <cell r="W78"/>
          <cell r="X78"/>
          <cell r="Y78"/>
          <cell r="Z78" t="e">
            <v>#N/A</v>
          </cell>
          <cell r="AA78" t="str">
            <v>RFC Done</v>
          </cell>
          <cell r="AB78" t="str">
            <v>RFC Done</v>
          </cell>
          <cell r="AC78"/>
          <cell r="AD78"/>
          <cell r="AE78"/>
          <cell r="AF78"/>
          <cell r="AG78"/>
          <cell r="AH78"/>
          <cell r="AI78"/>
          <cell r="AJ78"/>
          <cell r="AK78"/>
          <cell r="AL78"/>
          <cell r="AM78"/>
          <cell r="AN78"/>
          <cell r="AO78"/>
          <cell r="AP78"/>
        </row>
        <row r="79">
          <cell r="A79" t="str">
            <v>JAW-JK-CKG-0669</v>
          </cell>
          <cell r="B79">
            <v>30572370031</v>
          </cell>
          <cell r="C79">
            <v>1127871003</v>
          </cell>
          <cell r="D79" t="str">
            <v>JAW-JK-CKG-0669</v>
          </cell>
          <cell r="E79" t="str">
            <v>Jalan R. A. Fadillah</v>
          </cell>
          <cell r="F79">
            <v>43844</v>
          </cell>
          <cell r="G79" t="str">
            <v>JAN 2020</v>
          </cell>
          <cell r="H79">
            <v>344</v>
          </cell>
          <cell r="I79" t="str">
            <v>JABODETABEK (INNER)</v>
          </cell>
          <cell r="J79" t="str">
            <v>JAKARTA TIMUR</v>
          </cell>
          <cell r="K79" t="str">
            <v>XL</v>
          </cell>
          <cell r="L79" t="str">
            <v>-</v>
          </cell>
          <cell r="M79" t="str">
            <v>A</v>
          </cell>
          <cell r="N79"/>
          <cell r="O79"/>
          <cell r="P79"/>
          <cell r="Q79"/>
          <cell r="R79" t="str">
            <v>KLS</v>
          </cell>
          <cell r="S79" t="str">
            <v>Aditya Rachman</v>
          </cell>
          <cell r="T79" t="str">
            <v>20000000/5 tahun</v>
          </cell>
          <cell r="U79" t="str">
            <v>SITAC</v>
          </cell>
          <cell r="V79" t="str">
            <v>05. BAN/BAK</v>
          </cell>
          <cell r="W79"/>
          <cell r="X79" t="str">
            <v>November</v>
          </cell>
          <cell r="Y79"/>
          <cell r="Z79" t="e">
            <v>#N/A</v>
          </cell>
          <cell r="AA79" t="str">
            <v>Review PKS by Kopassus</v>
          </cell>
          <cell r="AB79" t="str">
            <v>Menunggu hasil review Kopassus</v>
          </cell>
          <cell r="AC79"/>
          <cell r="AD79"/>
          <cell r="AE79"/>
          <cell r="AF79"/>
          <cell r="AG79"/>
          <cell r="AH79"/>
          <cell r="AI79"/>
          <cell r="AJ79"/>
          <cell r="AK79"/>
          <cell r="AL79"/>
          <cell r="AM79"/>
          <cell r="AN79"/>
          <cell r="AO79"/>
          <cell r="AP79"/>
        </row>
        <row r="80">
          <cell r="A80" t="str">
            <v>JAW-JK-TJP-0616</v>
          </cell>
          <cell r="B80">
            <v>30571930031</v>
          </cell>
          <cell r="C80">
            <v>1127731003</v>
          </cell>
          <cell r="D80" t="str">
            <v>JAW-JK-TJP-0616</v>
          </cell>
          <cell r="E80" t="str">
            <v>Komplek Green Garden</v>
          </cell>
          <cell r="F80">
            <v>43844</v>
          </cell>
          <cell r="G80" t="str">
            <v>JAN 2020</v>
          </cell>
          <cell r="H80">
            <v>344</v>
          </cell>
          <cell r="I80" t="str">
            <v>JABODETABEK (INNER)</v>
          </cell>
          <cell r="J80" t="str">
            <v>JAKARTA UTARA</v>
          </cell>
          <cell r="K80" t="str">
            <v>XL</v>
          </cell>
          <cell r="L80" t="str">
            <v>-</v>
          </cell>
          <cell r="M80"/>
          <cell r="N80"/>
          <cell r="O80"/>
          <cell r="P80"/>
          <cell r="Q80"/>
          <cell r="R80" t="str">
            <v>KLS</v>
          </cell>
          <cell r="S80" t="str">
            <v>Aditya Rachaman</v>
          </cell>
          <cell r="T80"/>
          <cell r="U80" t="str">
            <v>Drop by OPR</v>
          </cell>
          <cell r="V80" t="str">
            <v>Drop by OPR</v>
          </cell>
          <cell r="W80"/>
          <cell r="X80"/>
          <cell r="Y80"/>
          <cell r="Z80" t="e">
            <v>#N/A</v>
          </cell>
          <cell r="AA80" t="str">
            <v>Pre Cancel Drop By Operator</v>
          </cell>
          <cell r="AB80" t="str">
            <v>Pre Cancel Drop By Operator</v>
          </cell>
          <cell r="AC80"/>
          <cell r="AD80"/>
          <cell r="AE80"/>
          <cell r="AF80"/>
          <cell r="AG80"/>
          <cell r="AH80"/>
          <cell r="AI80"/>
          <cell r="AJ80"/>
          <cell r="AK80"/>
          <cell r="AL80"/>
          <cell r="AM80"/>
          <cell r="AN80"/>
          <cell r="AO80"/>
          <cell r="AP80"/>
        </row>
        <row r="81">
          <cell r="A81" t="str">
            <v>JAW-BT-TNG-1452</v>
          </cell>
          <cell r="B81">
            <v>30571830031</v>
          </cell>
          <cell r="C81">
            <v>1317361003</v>
          </cell>
          <cell r="D81" t="str">
            <v>JAW-BT-TNG-1452</v>
          </cell>
          <cell r="E81" t="str">
            <v>Pandawa Cibodas</v>
          </cell>
          <cell r="F81">
            <v>43844</v>
          </cell>
          <cell r="G81" t="str">
            <v>JAN 2020</v>
          </cell>
          <cell r="H81">
            <v>344</v>
          </cell>
          <cell r="I81" t="str">
            <v>JABODETABEK (INNER)</v>
          </cell>
          <cell r="J81" t="str">
            <v>KOTA TANGERANG</v>
          </cell>
          <cell r="K81" t="str">
            <v>XL</v>
          </cell>
          <cell r="L81" t="str">
            <v>-</v>
          </cell>
          <cell r="M81"/>
          <cell r="N81"/>
          <cell r="O81"/>
          <cell r="P81"/>
          <cell r="Q81"/>
          <cell r="R81" t="str">
            <v>MIT</v>
          </cell>
          <cell r="S81" t="str">
            <v>Handri Purnama</v>
          </cell>
          <cell r="T81"/>
          <cell r="U81" t="str">
            <v>RFC</v>
          </cell>
          <cell r="V81" t="str">
            <v>12. RFC</v>
          </cell>
          <cell r="W81"/>
          <cell r="X81"/>
          <cell r="Y81"/>
          <cell r="Z81" t="e">
            <v>#N/A</v>
          </cell>
          <cell r="AA81" t="str">
            <v>RFC Done</v>
          </cell>
          <cell r="AB81" t="str">
            <v>RFC Done</v>
          </cell>
          <cell r="AC81" t="str">
            <v>-</v>
          </cell>
          <cell r="AD81" t="str">
            <v>-</v>
          </cell>
          <cell r="AE81"/>
          <cell r="AF81"/>
          <cell r="AG81"/>
          <cell r="AH81" t="str">
            <v>MCP</v>
          </cell>
          <cell r="AI81" t="str">
            <v>STIP 1</v>
          </cell>
          <cell r="AJ81" t="str">
            <v>TB</v>
          </cell>
          <cell r="AK81" t="str">
            <v>D</v>
          </cell>
          <cell r="AL81" t="str">
            <v>106.605185°</v>
          </cell>
          <cell r="AM81" t="str">
            <v xml:space="preserve"> -6.199049°</v>
          </cell>
          <cell r="AN81" t="str">
            <v>Jl. Rahwana II Ujung RT. 05 RW. 02 Kel. Cibodas Baru Kec Cibodas, Kota Tangerang</v>
          </cell>
          <cell r="AO81" t="str">
            <v>20m</v>
          </cell>
          <cell r="AP81" t="str">
            <v>BANTEN</v>
          </cell>
        </row>
        <row r="82">
          <cell r="A82" t="str">
            <v>JAW-BT-TNG-1456</v>
          </cell>
          <cell r="B82">
            <v>30572510031</v>
          </cell>
          <cell r="C82">
            <v>1317701003</v>
          </cell>
          <cell r="D82" t="str">
            <v>JAW-BT-TNG-1456</v>
          </cell>
          <cell r="E82" t="str">
            <v>SMPN 14 Tangerang</v>
          </cell>
          <cell r="F82">
            <v>43844</v>
          </cell>
          <cell r="G82" t="str">
            <v>JAN 2020</v>
          </cell>
          <cell r="H82">
            <v>344</v>
          </cell>
          <cell r="I82" t="str">
            <v>JABODETABEK (INNER)</v>
          </cell>
          <cell r="J82" t="str">
            <v>KOTA TANGERANG</v>
          </cell>
          <cell r="K82" t="str">
            <v>XL</v>
          </cell>
          <cell r="L82" t="str">
            <v>-</v>
          </cell>
          <cell r="M82"/>
          <cell r="N82"/>
          <cell r="O82"/>
          <cell r="P82"/>
          <cell r="Q82"/>
          <cell r="R82" t="str">
            <v>BNP</v>
          </cell>
          <cell r="S82" t="str">
            <v>Aditya Rachman</v>
          </cell>
          <cell r="T82" t="str">
            <v>17000000/5 tahun</v>
          </cell>
          <cell r="U82" t="str">
            <v>SITAC</v>
          </cell>
          <cell r="V82" t="str">
            <v>05. BAN/BAK</v>
          </cell>
          <cell r="W82"/>
          <cell r="X82"/>
          <cell r="Y82"/>
          <cell r="Z82" t="e">
            <v>#N/A</v>
          </cell>
          <cell r="AA82" t="str">
            <v>Follow Up Mas Adit</v>
          </cell>
          <cell r="AB82" t="str">
            <v>Pak Jimoy</v>
          </cell>
          <cell r="AC82" t="str">
            <v>1 Maret 2020</v>
          </cell>
          <cell r="AD82"/>
          <cell r="AE82"/>
          <cell r="AF82"/>
          <cell r="AG82"/>
          <cell r="AH82" t="str">
            <v>MCP</v>
          </cell>
          <cell r="AI82" t="str">
            <v>STIP 1</v>
          </cell>
          <cell r="AJ82" t="str">
            <v>TB</v>
          </cell>
          <cell r="AK82" t="str">
            <v>D</v>
          </cell>
          <cell r="AL82" t="str">
            <v>106.64248</v>
          </cell>
          <cell r="AM82" t="str">
            <v>-6.21767</v>
          </cell>
          <cell r="AN82" t="str">
            <v>Jl. Sawah Dalam RT. 03 RW. 04 Kel. Panunggangan Utara Kec. Pinang, Kota Tangerang</v>
          </cell>
          <cell r="AO82" t="str">
            <v>20 m</v>
          </cell>
          <cell r="AP82" t="str">
            <v>BANTEN</v>
          </cell>
        </row>
        <row r="83">
          <cell r="A83" t="str">
            <v>ZJKT2_4537</v>
          </cell>
          <cell r="B83">
            <v>230575290231</v>
          </cell>
          <cell r="C83">
            <v>1317861023</v>
          </cell>
          <cell r="D83" t="str">
            <v>ZJKT2_4537</v>
          </cell>
          <cell r="E83" t="str">
            <v>KARAWACI 850</v>
          </cell>
          <cell r="F83">
            <v>43858</v>
          </cell>
          <cell r="G83" t="str">
            <v>JAN 2020</v>
          </cell>
          <cell r="H83">
            <v>330</v>
          </cell>
          <cell r="I83" t="str">
            <v>JABODETABEK (INNER)</v>
          </cell>
          <cell r="J83" t="str">
            <v>KOTA TANGERANG</v>
          </cell>
          <cell r="K83" t="str">
            <v>SMARTFREN</v>
          </cell>
          <cell r="L83" t="str">
            <v>-</v>
          </cell>
          <cell r="M83"/>
          <cell r="N83" t="str">
            <v>106.626348</v>
          </cell>
          <cell r="O83">
            <v>-6.1758350000000002</v>
          </cell>
          <cell r="P83">
            <v>0</v>
          </cell>
          <cell r="Q83">
            <v>106.62634799999999</v>
          </cell>
          <cell r="R83" t="str">
            <v>NY MITRA</v>
          </cell>
          <cell r="S83"/>
          <cell r="T83"/>
          <cell r="U83" t="str">
            <v>SITAC</v>
          </cell>
          <cell r="V83" t="str">
            <v>05. BAN/BAK</v>
          </cell>
          <cell r="W83"/>
          <cell r="X83"/>
          <cell r="Y83"/>
          <cell r="Z83" t="str">
            <v>OK, 30m</v>
          </cell>
          <cell r="AA83" t="str">
            <v>Hasil Validasi OK, 30m
Hunting kandidat A</v>
          </cell>
          <cell r="AB83"/>
          <cell r="AC83"/>
          <cell r="AD83"/>
          <cell r="AE83"/>
          <cell r="AF83"/>
          <cell r="AG83"/>
          <cell r="AH83" t="str">
            <v>NEW BUILD</v>
          </cell>
          <cell r="AI83" t="str">
            <v>STIP 1</v>
          </cell>
          <cell r="AJ83" t="str">
            <v>TB</v>
          </cell>
          <cell r="AK83" t="str">
            <v>A</v>
          </cell>
          <cell r="AL83" t="str">
            <v>106.62659</v>
          </cell>
          <cell r="AM83" t="str">
            <v>-6.17607</v>
          </cell>
          <cell r="AN83" t="str">
            <v>Jl. Otista Raya, Ruko Otista Square CIII/5 Kel. Grendeng Kec. Karawaci, Kota Tangerang</v>
          </cell>
          <cell r="AO83" t="str">
            <v>MT 25m</v>
          </cell>
          <cell r="AP83" t="str">
            <v>BANTEN</v>
          </cell>
        </row>
        <row r="84">
          <cell r="A84" t="str">
            <v>ZJKT2_5175</v>
          </cell>
          <cell r="B84">
            <v>230560390231</v>
          </cell>
          <cell r="C84">
            <v>1317341023</v>
          </cell>
          <cell r="D84" t="str">
            <v>New Infill_331</v>
          </cell>
          <cell r="E84" t="str">
            <v>PINANG</v>
          </cell>
          <cell r="F84">
            <v>43829</v>
          </cell>
          <cell r="G84" t="str">
            <v>DES 2019</v>
          </cell>
          <cell r="H84">
            <v>359</v>
          </cell>
          <cell r="I84" t="str">
            <v>JABODETABEK (INNER)</v>
          </cell>
          <cell r="J84" t="str">
            <v>KOTA TANGERANG</v>
          </cell>
          <cell r="K84" t="str">
            <v>SMARTFREN</v>
          </cell>
          <cell r="L84" t="str">
            <v>-</v>
          </cell>
          <cell r="M84"/>
          <cell r="N84"/>
          <cell r="O84"/>
          <cell r="P84"/>
          <cell r="Q84"/>
          <cell r="R84" t="str">
            <v>MIT</v>
          </cell>
          <cell r="S84" t="str">
            <v>Handri Purnama</v>
          </cell>
          <cell r="T84"/>
          <cell r="U84" t="str">
            <v>PRE SITAC</v>
          </cell>
          <cell r="V84" t="str">
            <v>02. Rehunting</v>
          </cell>
          <cell r="W84"/>
          <cell r="X84"/>
          <cell r="Y84"/>
          <cell r="Z84" t="e">
            <v>#N/A</v>
          </cell>
          <cell r="AA84" t="str">
            <v>Surat akan disubmit berserta tanda terima 09.03 
Kandidat A NOK, NOM area moderland</v>
          </cell>
          <cell r="AB84" t="str">
            <v>FU Bersurat ke kawasan modernland
Submit penawaran kerja sama ke pihak modernland</v>
          </cell>
          <cell r="AC84" t="str">
            <v>-</v>
          </cell>
          <cell r="AD84" t="str">
            <v>-</v>
          </cell>
          <cell r="AE84"/>
          <cell r="AF84"/>
          <cell r="AG84"/>
          <cell r="AH84"/>
          <cell r="AI84"/>
          <cell r="AJ84"/>
          <cell r="AK84"/>
          <cell r="AL84"/>
          <cell r="AM84"/>
          <cell r="AN84"/>
          <cell r="AO84"/>
          <cell r="AP84"/>
        </row>
        <row r="85">
          <cell r="A85" t="str">
            <v>JAW-BT-TNG-1464</v>
          </cell>
          <cell r="B85">
            <v>30572570031</v>
          </cell>
          <cell r="C85">
            <v>1317761003</v>
          </cell>
          <cell r="D85" t="str">
            <v>JAW-BT-TNG-1464</v>
          </cell>
          <cell r="E85" t="str">
            <v>ALAM JAYA JATIUWUNG</v>
          </cell>
          <cell r="F85">
            <v>43844</v>
          </cell>
          <cell r="G85" t="str">
            <v>JAN 2020</v>
          </cell>
          <cell r="H85">
            <v>344</v>
          </cell>
          <cell r="I85" t="str">
            <v>JABODETABEK (INNER)</v>
          </cell>
          <cell r="J85" t="str">
            <v>KOTA TANGERANG</v>
          </cell>
          <cell r="K85" t="str">
            <v>XL</v>
          </cell>
          <cell r="L85" t="str">
            <v>-</v>
          </cell>
          <cell r="M85"/>
          <cell r="N85"/>
          <cell r="O85"/>
          <cell r="P85"/>
          <cell r="Q85"/>
          <cell r="R85" t="str">
            <v>MIT</v>
          </cell>
          <cell r="S85" t="str">
            <v>Handri Purnama</v>
          </cell>
          <cell r="T85"/>
          <cell r="U85" t="str">
            <v>RFC</v>
          </cell>
          <cell r="V85" t="str">
            <v>12. RFC</v>
          </cell>
          <cell r="W85"/>
          <cell r="X85"/>
          <cell r="Y85"/>
          <cell r="Z85" t="e">
            <v>#N/A</v>
          </cell>
          <cell r="AA85" t="str">
            <v>RFC Done</v>
          </cell>
          <cell r="AB85" t="str">
            <v>RFC Done</v>
          </cell>
          <cell r="AC85" t="str">
            <v>1 Maret 2020</v>
          </cell>
          <cell r="AD85" t="str">
            <v>20 Maret 2020</v>
          </cell>
          <cell r="AE85"/>
          <cell r="AF85"/>
          <cell r="AG85"/>
          <cell r="AH85" t="str">
            <v>MCP</v>
          </cell>
          <cell r="AI85" t="str">
            <v>STIP 1</v>
          </cell>
          <cell r="AJ85" t="str">
            <v>TB</v>
          </cell>
          <cell r="AK85" t="str">
            <v>C</v>
          </cell>
          <cell r="AL85" t="str">
            <v>106.57746</v>
          </cell>
          <cell r="AM85" t="str">
            <v>-6.19367</v>
          </cell>
          <cell r="AN85" t="str">
            <v>Kp. Leduk RT. 03 RW. 01 Kel. Alam Jaya Kec. Jatiuwung, Kota Tangerang</v>
          </cell>
          <cell r="AO85" t="str">
            <v>20m</v>
          </cell>
          <cell r="AP85" t="str">
            <v>BANTEN</v>
          </cell>
        </row>
        <row r="86">
          <cell r="A86" t="str">
            <v>JAW-BT-TGR-0061</v>
          </cell>
          <cell r="B86">
            <v>30572620031</v>
          </cell>
          <cell r="C86">
            <v>1317811003</v>
          </cell>
          <cell r="D86" t="str">
            <v>JAW-BT-TGR-0061</v>
          </cell>
          <cell r="E86" t="str">
            <v>JL TELESONIC PASIRJAYA</v>
          </cell>
          <cell r="F86">
            <v>43844</v>
          </cell>
          <cell r="G86" t="str">
            <v>JAN 2020</v>
          </cell>
          <cell r="H86">
            <v>344</v>
          </cell>
          <cell r="I86" t="str">
            <v>JABODETABEK (INNER)</v>
          </cell>
          <cell r="J86" t="str">
            <v>KOTA TANGERANG</v>
          </cell>
          <cell r="K86" t="str">
            <v>XL</v>
          </cell>
          <cell r="L86" t="str">
            <v>-</v>
          </cell>
          <cell r="M86"/>
          <cell r="N86"/>
          <cell r="O86"/>
          <cell r="P86"/>
          <cell r="Q86"/>
          <cell r="R86" t="str">
            <v>MIT</v>
          </cell>
          <cell r="S86" t="str">
            <v>Handri Purnama</v>
          </cell>
          <cell r="T86"/>
          <cell r="U86" t="str">
            <v>SITAC</v>
          </cell>
          <cell r="V86" t="str">
            <v>05. BAN/BAK</v>
          </cell>
          <cell r="W86"/>
          <cell r="X86"/>
          <cell r="Y86"/>
          <cell r="Z86" t="e">
            <v>#N/A</v>
          </cell>
          <cell r="AA86" t="str">
            <v>Rehunting kand area Kab Tangerang</v>
          </cell>
          <cell r="AB86" t="str">
            <v>Pak Jimoy</v>
          </cell>
          <cell r="AC86" t="str">
            <v>-</v>
          </cell>
          <cell r="AD86"/>
          <cell r="AE86"/>
          <cell r="AF86"/>
          <cell r="AG86"/>
          <cell r="AH86"/>
          <cell r="AI86"/>
          <cell r="AJ86"/>
          <cell r="AK86"/>
          <cell r="AL86"/>
          <cell r="AM86"/>
          <cell r="AN86"/>
          <cell r="AO86"/>
          <cell r="AP86"/>
        </row>
        <row r="87">
          <cell r="A87" t="str">
            <v>ZBGR_4046</v>
          </cell>
          <cell r="B87">
            <v>230560270231</v>
          </cell>
          <cell r="C87">
            <v>1260531023</v>
          </cell>
          <cell r="D87" t="str">
            <v>site 1921</v>
          </cell>
          <cell r="E87" t="str">
            <v>CIBINONG BOGOR</v>
          </cell>
          <cell r="F87">
            <v>43829</v>
          </cell>
          <cell r="G87" t="str">
            <v>DES 2019</v>
          </cell>
          <cell r="H87">
            <v>359</v>
          </cell>
          <cell r="I87" t="str">
            <v>JABODETABEK (OUTER)</v>
          </cell>
          <cell r="J87" t="str">
            <v>BOGOR</v>
          </cell>
          <cell r="K87" t="str">
            <v>SMARTFREN</v>
          </cell>
          <cell r="L87" t="str">
            <v>-</v>
          </cell>
          <cell r="M87"/>
          <cell r="N87"/>
          <cell r="O87"/>
          <cell r="P87"/>
          <cell r="Q87"/>
          <cell r="R87" t="str">
            <v>Orlie</v>
          </cell>
          <cell r="S87" t="str">
            <v>Handri Purnama</v>
          </cell>
          <cell r="T87"/>
          <cell r="U87" t="str">
            <v>SITAC</v>
          </cell>
          <cell r="V87" t="str">
            <v>05. BAN/BAK</v>
          </cell>
          <cell r="W87"/>
          <cell r="X87" t="str">
            <v>W4 Mart</v>
          </cell>
          <cell r="Y87"/>
          <cell r="Z87" t="e">
            <v>#N/A</v>
          </cell>
          <cell r="AA87" t="str">
            <v>Validasi OK. BAN 20jt dan IW 16KK
Kand A dan B reject IW, rehunting kand C</v>
          </cell>
          <cell r="AB87" t="str">
            <v>Proses BAN dan IW</v>
          </cell>
          <cell r="AC87" t="str">
            <v>-</v>
          </cell>
          <cell r="AD87" t="str">
            <v>-</v>
          </cell>
          <cell r="AE87"/>
          <cell r="AF87"/>
          <cell r="AG87"/>
          <cell r="AH87"/>
          <cell r="AI87"/>
          <cell r="AJ87"/>
          <cell r="AK87"/>
          <cell r="AL87"/>
          <cell r="AM87"/>
          <cell r="AN87"/>
          <cell r="AO87"/>
          <cell r="AP87"/>
        </row>
        <row r="88">
          <cell r="A88" t="str">
            <v>JAW-BT-CPT-0474</v>
          </cell>
          <cell r="B88">
            <v>30572140031</v>
          </cell>
          <cell r="C88">
            <v>1317471003</v>
          </cell>
          <cell r="D88" t="str">
            <v>JAW-BT-CPT-0474</v>
          </cell>
          <cell r="E88" t="str">
            <v>Elang Sawah</v>
          </cell>
          <cell r="F88">
            <v>43844</v>
          </cell>
          <cell r="G88" t="str">
            <v>JAN 2020</v>
          </cell>
          <cell r="H88">
            <v>344</v>
          </cell>
          <cell r="I88" t="str">
            <v>JABODETABEK (OUTER)</v>
          </cell>
          <cell r="J88" t="str">
            <v>TANGERANG SELATAN</v>
          </cell>
          <cell r="K88" t="str">
            <v>XL</v>
          </cell>
          <cell r="L88" t="str">
            <v>-</v>
          </cell>
          <cell r="M88"/>
          <cell r="N88"/>
          <cell r="O88"/>
          <cell r="P88"/>
          <cell r="Q88"/>
          <cell r="R88" t="str">
            <v>Turangga</v>
          </cell>
          <cell r="S88" t="str">
            <v>Aditya Rachaman</v>
          </cell>
          <cell r="T88"/>
          <cell r="U88" t="str">
            <v>RFC</v>
          </cell>
          <cell r="V88" t="str">
            <v>12. RFC</v>
          </cell>
          <cell r="W88"/>
          <cell r="X88"/>
          <cell r="Y88"/>
          <cell r="Z88" t="e">
            <v>#N/A</v>
          </cell>
          <cell r="AA88" t="str">
            <v>RFC Done</v>
          </cell>
          <cell r="AB88" t="str">
            <v>RFC Done</v>
          </cell>
          <cell r="AC88" t="str">
            <v>-</v>
          </cell>
          <cell r="AD88" t="str">
            <v>-</v>
          </cell>
          <cell r="AE88"/>
          <cell r="AF88"/>
          <cell r="AG88"/>
          <cell r="AH88"/>
          <cell r="AI88"/>
          <cell r="AJ88"/>
          <cell r="AK88"/>
          <cell r="AL88"/>
          <cell r="AM88"/>
          <cell r="AN88"/>
          <cell r="AO88"/>
          <cell r="AP88"/>
        </row>
        <row r="89">
          <cell r="A89" t="str">
            <v>ZJKT2_4999</v>
          </cell>
          <cell r="B89">
            <v>230560360231</v>
          </cell>
          <cell r="C89">
            <v>1317321023</v>
          </cell>
          <cell r="D89" t="str">
            <v>JAK0868</v>
          </cell>
          <cell r="E89" t="str">
            <v>CIPUTAT 2</v>
          </cell>
          <cell r="F89">
            <v>43829</v>
          </cell>
          <cell r="G89" t="str">
            <v>DES 2019</v>
          </cell>
          <cell r="H89">
            <v>359</v>
          </cell>
          <cell r="I89" t="str">
            <v>JABODETABEK (OUTER)</v>
          </cell>
          <cell r="J89" t="str">
            <v>TANGERANG SELATAN</v>
          </cell>
          <cell r="K89" t="str">
            <v>SMARTFREN</v>
          </cell>
          <cell r="L89" t="str">
            <v>-</v>
          </cell>
          <cell r="M89"/>
          <cell r="N89"/>
          <cell r="O89"/>
          <cell r="P89"/>
          <cell r="Q89"/>
          <cell r="R89" t="str">
            <v>Turangga</v>
          </cell>
          <cell r="S89" t="str">
            <v>Aditya Rachaman</v>
          </cell>
          <cell r="T89"/>
          <cell r="U89" t="str">
            <v>PRE SITAC</v>
          </cell>
          <cell r="V89" t="str">
            <v>02. Rehunting</v>
          </cell>
          <cell r="W89"/>
          <cell r="X89"/>
          <cell r="Y89"/>
          <cell r="Z89" t="e">
            <v>#N/A</v>
          </cell>
          <cell r="AA89" t="str">
            <v>06.03: Kand B, Sama dengan site Elang Sawah BAN 30JT, Plan Rehunting
Kandidat A high price (65jt), submit kand B, makesure BAN dan IW sebelum validasi</v>
          </cell>
          <cell r="AB89" t="str">
            <v xml:space="preserve">Makesure BAN </v>
          </cell>
          <cell r="AC89" t="str">
            <v>-</v>
          </cell>
          <cell r="AD89" t="str">
            <v>-</v>
          </cell>
          <cell r="AE89"/>
          <cell r="AF89"/>
          <cell r="AG89"/>
          <cell r="AH89"/>
          <cell r="AI89"/>
          <cell r="AJ89"/>
          <cell r="AK89"/>
          <cell r="AL89"/>
          <cell r="AM89"/>
          <cell r="AN89"/>
          <cell r="AO89"/>
          <cell r="AP89"/>
        </row>
        <row r="90">
          <cell r="A90" t="str">
            <v>ZJKT2_4070</v>
          </cell>
          <cell r="B90">
            <v>230560250231</v>
          </cell>
          <cell r="C90">
            <v>1317271023</v>
          </cell>
          <cell r="D90" t="str">
            <v>T416</v>
          </cell>
          <cell r="E90" t="str">
            <v>CIPUTAT TIMUR</v>
          </cell>
          <cell r="F90">
            <v>43829</v>
          </cell>
          <cell r="G90" t="str">
            <v>DES 2019</v>
          </cell>
          <cell r="H90">
            <v>359</v>
          </cell>
          <cell r="I90" t="str">
            <v>JABODETABEK (OUTER)</v>
          </cell>
          <cell r="J90" t="str">
            <v>TANGERANG SELATAN</v>
          </cell>
          <cell r="K90" t="str">
            <v>SMARTFREN</v>
          </cell>
          <cell r="L90" t="str">
            <v>-</v>
          </cell>
          <cell r="M90"/>
          <cell r="N90"/>
          <cell r="O90"/>
          <cell r="P90"/>
          <cell r="Q90"/>
          <cell r="R90" t="str">
            <v>Turangga</v>
          </cell>
          <cell r="S90" t="str">
            <v>Aditya Rachaman</v>
          </cell>
          <cell r="T90"/>
          <cell r="U90" t="str">
            <v>PRE SITAC</v>
          </cell>
          <cell r="V90" t="str">
            <v>02. Rehunting</v>
          </cell>
          <cell r="W90"/>
          <cell r="X90"/>
          <cell r="Y90"/>
          <cell r="Z90" t="e">
            <v>#N/A</v>
          </cell>
          <cell r="AA90" t="str">
            <v>Rehunting kand B Lahan Alfamidi</v>
          </cell>
          <cell r="AB90" t="str">
            <v>Makesure BAN &amp;IW</v>
          </cell>
          <cell r="AC90" t="str">
            <v>-</v>
          </cell>
          <cell r="AD90" t="str">
            <v>-</v>
          </cell>
          <cell r="AE90"/>
          <cell r="AF90"/>
          <cell r="AG90"/>
          <cell r="AH90"/>
          <cell r="AI90"/>
          <cell r="AJ90"/>
          <cell r="AK90"/>
          <cell r="AL90"/>
          <cell r="AM90"/>
          <cell r="AN90"/>
          <cell r="AO90"/>
          <cell r="AP90"/>
        </row>
        <row r="91">
          <cell r="A91" t="str">
            <v>JAW-BT-TGR-0029</v>
          </cell>
          <cell r="B91">
            <v>30572020031</v>
          </cell>
          <cell r="C91">
            <v>1317411003</v>
          </cell>
          <cell r="D91" t="str">
            <v>JAW-BT-TGR-0029</v>
          </cell>
          <cell r="E91" t="str">
            <v>Karet Sepatan Tangerang</v>
          </cell>
          <cell r="F91">
            <v>43844</v>
          </cell>
          <cell r="G91" t="str">
            <v>JAN 2020</v>
          </cell>
          <cell r="H91">
            <v>344</v>
          </cell>
          <cell r="I91" t="str">
            <v>JABODETABEK (OUTER)</v>
          </cell>
          <cell r="J91" t="str">
            <v>TANGERANG</v>
          </cell>
          <cell r="K91" t="str">
            <v>XL</v>
          </cell>
          <cell r="L91" t="str">
            <v>-</v>
          </cell>
          <cell r="M91"/>
          <cell r="N91"/>
          <cell r="O91"/>
          <cell r="P91"/>
          <cell r="Q91"/>
          <cell r="R91" t="str">
            <v>BNP</v>
          </cell>
          <cell r="S91" t="str">
            <v>Aditya Rachaman</v>
          </cell>
          <cell r="T91"/>
          <cell r="U91" t="str">
            <v>RFC</v>
          </cell>
          <cell r="V91" t="str">
            <v>12. RFC</v>
          </cell>
          <cell r="W91"/>
          <cell r="X91"/>
          <cell r="Y91"/>
          <cell r="Z91" t="e">
            <v>#N/A</v>
          </cell>
          <cell r="AA91" t="str">
            <v>RFC Done</v>
          </cell>
          <cell r="AB91" t="str">
            <v>RFC Done</v>
          </cell>
          <cell r="AC91" t="str">
            <v>-</v>
          </cell>
          <cell r="AD91" t="str">
            <v>-</v>
          </cell>
          <cell r="AE91"/>
          <cell r="AF91"/>
          <cell r="AG91"/>
          <cell r="AH91" t="str">
            <v>NEW BUILD</v>
          </cell>
          <cell r="AI91" t="str">
            <v>STIP 1</v>
          </cell>
          <cell r="AJ91" t="str">
            <v>TB</v>
          </cell>
          <cell r="AK91" t="str">
            <v>D</v>
          </cell>
          <cell r="AL91" t="str">
            <v>106.581139°</v>
          </cell>
          <cell r="AM91" t="str">
            <v>-6.145972°</v>
          </cell>
          <cell r="AN91" t="str">
            <v>Kp. Karet RT.02/03 Desa Karet, Kec. Sepatan, Kab. Tangerang</v>
          </cell>
          <cell r="AO91" t="str">
            <v>42 m</v>
          </cell>
          <cell r="AP91" t="str">
            <v>BANTEN</v>
          </cell>
        </row>
        <row r="92">
          <cell r="A92" t="str">
            <v>JAK0372</v>
          </cell>
          <cell r="B92">
            <v>23055100231</v>
          </cell>
          <cell r="C92">
            <v>112688123</v>
          </cell>
          <cell r="D92" t="str">
            <v>JAK0372</v>
          </cell>
          <cell r="E92" t="str">
            <v>GROGOL PETAMBURAN</v>
          </cell>
          <cell r="F92">
            <v>43749</v>
          </cell>
          <cell r="G92" t="str">
            <v>OKT 2019</v>
          </cell>
          <cell r="H92">
            <v>439</v>
          </cell>
          <cell r="I92" t="str">
            <v>JABODETABEK (INNER)</v>
          </cell>
          <cell r="J92" t="str">
            <v>JAKARTA BARAT</v>
          </cell>
          <cell r="K92" t="str">
            <v>SMARTFREN</v>
          </cell>
          <cell r="L92" t="str">
            <v>-</v>
          </cell>
          <cell r="M92"/>
          <cell r="N92"/>
          <cell r="O92"/>
          <cell r="P92"/>
          <cell r="Q92"/>
          <cell r="R92" t="str">
            <v>KLS</v>
          </cell>
          <cell r="S92" t="str">
            <v>Aditya Rachaman</v>
          </cell>
          <cell r="T92"/>
          <cell r="U92" t="str">
            <v>PRE SITAC</v>
          </cell>
          <cell r="V92" t="str">
            <v>03. Review RNP</v>
          </cell>
          <cell r="W92"/>
          <cell r="X92"/>
          <cell r="Y92"/>
          <cell r="Z92" t="e">
            <v>#N/A</v>
          </cell>
          <cell r="AA92" t="str">
            <v>06.03 : Proses validasi kand C
Rehunting Kand. C
Submit kandidat B NOK dekat exsisting</v>
          </cell>
          <cell r="AB92" t="str">
            <v>Validasi Kand. C</v>
          </cell>
          <cell r="AC92"/>
          <cell r="AD92"/>
          <cell r="AE92" t="str">
            <v>28.11.19 : waiting pergantian RW untuk start CME
11.11.19 : IW OG (finalisasi skema KLS)
04.11.19 : IW OG 
25.10.19 : hasil review TNP OK untuk ketinggian 20m
23.10.19 : submit panoramic by drone 
18.10.19 : IW on going, lahan fasum
15.10.19 : kandidat A OK
11.10.19 : submit kandidat A</v>
          </cell>
          <cell r="AF92" t="str">
            <v>Ada saudara LL bogor barat di site bogor tengah, plan visit by turangga paralel fu Zeni</v>
          </cell>
          <cell r="AG92"/>
          <cell r="AH92"/>
          <cell r="AI92"/>
          <cell r="AJ92"/>
          <cell r="AK92"/>
          <cell r="AL92"/>
          <cell r="AM92"/>
          <cell r="AN92"/>
          <cell r="AO92"/>
          <cell r="AP92"/>
        </row>
        <row r="93">
          <cell r="A93" t="str">
            <v>JAW-JK-GGP-0524</v>
          </cell>
          <cell r="B93">
            <v>30573620031</v>
          </cell>
          <cell r="C93">
            <v>1127941003</v>
          </cell>
          <cell r="D93" t="str">
            <v>JAW-JK-GGP-0524</v>
          </cell>
          <cell r="E93" t="str">
            <v>Kencana Timur Cengkareng</v>
          </cell>
          <cell r="F93">
            <v>43847</v>
          </cell>
          <cell r="G93" t="str">
            <v>JAN 2020</v>
          </cell>
          <cell r="H93">
            <v>341</v>
          </cell>
          <cell r="I93" t="str">
            <v>JABODETABEK (INNER)</v>
          </cell>
          <cell r="J93" t="str">
            <v>JAKARTA BARAT</v>
          </cell>
          <cell r="K93" t="str">
            <v>XL</v>
          </cell>
          <cell r="L93" t="str">
            <v>-</v>
          </cell>
          <cell r="M93"/>
          <cell r="N93"/>
          <cell r="O93"/>
          <cell r="P93"/>
          <cell r="Q93"/>
          <cell r="R93" t="str">
            <v>KLS</v>
          </cell>
          <cell r="S93" t="str">
            <v>Aditya Rachaman</v>
          </cell>
          <cell r="T93"/>
          <cell r="U93" t="str">
            <v>RFC</v>
          </cell>
          <cell r="V93" t="str">
            <v>12. RFC</v>
          </cell>
          <cell r="W93"/>
          <cell r="X93"/>
          <cell r="Y93"/>
          <cell r="Z93" t="e">
            <v>#N/A</v>
          </cell>
          <cell r="AA93" t="str">
            <v>RFC Done</v>
          </cell>
          <cell r="AB93" t="str">
            <v>RFC Done</v>
          </cell>
          <cell r="AC93"/>
          <cell r="AD93"/>
          <cell r="AE93"/>
          <cell r="AF93"/>
          <cell r="AG93"/>
          <cell r="AH93"/>
          <cell r="AI93"/>
          <cell r="AJ93"/>
          <cell r="AK93"/>
          <cell r="AL93"/>
          <cell r="AM93"/>
          <cell r="AN93"/>
          <cell r="AO93"/>
          <cell r="AP93"/>
        </row>
        <row r="94">
          <cell r="A94" t="str">
            <v>JAW-JK-CKG-0662</v>
          </cell>
          <cell r="B94">
            <v>30573640031</v>
          </cell>
          <cell r="C94">
            <v>1127961003</v>
          </cell>
          <cell r="D94" t="str">
            <v>JAW-JK-CKG-0662</v>
          </cell>
          <cell r="E94" t="str">
            <v>Nyiur Pondok Kelapa</v>
          </cell>
          <cell r="F94">
            <v>43847</v>
          </cell>
          <cell r="G94" t="str">
            <v>JAN 2020</v>
          </cell>
          <cell r="H94">
            <v>341</v>
          </cell>
          <cell r="I94" t="str">
            <v>JABODETABEK (INNER)</v>
          </cell>
          <cell r="J94" t="str">
            <v>JAKARTA TIMUR</v>
          </cell>
          <cell r="K94" t="str">
            <v>XL</v>
          </cell>
          <cell r="L94" t="str">
            <v>-</v>
          </cell>
          <cell r="M94"/>
          <cell r="N94"/>
          <cell r="O94"/>
          <cell r="P94"/>
          <cell r="Q94"/>
          <cell r="R94" t="str">
            <v>KLS</v>
          </cell>
          <cell r="S94" t="str">
            <v>Aditya Rachaman</v>
          </cell>
          <cell r="T94"/>
          <cell r="U94" t="str">
            <v>RFC</v>
          </cell>
          <cell r="V94" t="str">
            <v>12. RFC</v>
          </cell>
          <cell r="W94"/>
          <cell r="X94"/>
          <cell r="Y94"/>
          <cell r="Z94" t="e">
            <v>#N/A</v>
          </cell>
          <cell r="AA94" t="str">
            <v>RFC Done</v>
          </cell>
          <cell r="AB94" t="str">
            <v>RFC Done</v>
          </cell>
          <cell r="AC94" t="str">
            <v>Follow up Lagi</v>
          </cell>
          <cell r="AD94"/>
          <cell r="AE94"/>
          <cell r="AF94"/>
          <cell r="AG94"/>
          <cell r="AH94" t="str">
            <v>MCP</v>
          </cell>
          <cell r="AI94" t="str">
            <v>STIP 1</v>
          </cell>
          <cell r="AJ94" t="str">
            <v>TB</v>
          </cell>
          <cell r="AK94" t="str">
            <v>I</v>
          </cell>
          <cell r="AL94" t="str">
            <v>106.92663</v>
          </cell>
          <cell r="AM94" t="str">
            <v>-6.24186</v>
          </cell>
          <cell r="AN94" t="str">
            <v>Jl. Tipar No. 28 RT. 04 RW. 07 Kel. Pondok Kelapa Kec. Duren Sawit Jakarta Timur</v>
          </cell>
          <cell r="AO94" t="str">
            <v>20 m</v>
          </cell>
          <cell r="AP94" t="str">
            <v>DKI Jakarta</v>
          </cell>
        </row>
        <row r="95">
          <cell r="A95" t="str">
            <v>JAW-JB-CBI-0063</v>
          </cell>
          <cell r="B95">
            <v>30572230031</v>
          </cell>
          <cell r="C95">
            <v>1260941003</v>
          </cell>
          <cell r="D95" t="str">
            <v>JAW-JB-CBI-0063</v>
          </cell>
          <cell r="E95" t="str">
            <v>Jalan Raya Puspitek</v>
          </cell>
          <cell r="F95">
            <v>43844</v>
          </cell>
          <cell r="G95" t="str">
            <v>JAN 2020</v>
          </cell>
          <cell r="H95">
            <v>344</v>
          </cell>
          <cell r="I95" t="str">
            <v>JABODETABEK (OUTER)</v>
          </cell>
          <cell r="J95" t="str">
            <v>BOGOR</v>
          </cell>
          <cell r="K95" t="str">
            <v>XL</v>
          </cell>
          <cell r="L95" t="str">
            <v>-</v>
          </cell>
          <cell r="M95" t="str">
            <v>C</v>
          </cell>
          <cell r="N95"/>
          <cell r="O95"/>
          <cell r="P95"/>
          <cell r="Q95"/>
          <cell r="R95" t="str">
            <v>DSR</v>
          </cell>
          <cell r="S95" t="str">
            <v>Aditya Rachaman</v>
          </cell>
          <cell r="T95">
            <v>20000000</v>
          </cell>
          <cell r="U95" t="str">
            <v>RFC</v>
          </cell>
          <cell r="V95" t="str">
            <v>12. RFC</v>
          </cell>
          <cell r="W95"/>
          <cell r="X95"/>
          <cell r="Y95"/>
          <cell r="Z95" t="e">
            <v>#N/A</v>
          </cell>
          <cell r="AA95" t="str">
            <v>RFC Done</v>
          </cell>
          <cell r="AB95" t="str">
            <v>RFC Done</v>
          </cell>
          <cell r="AC95" t="str">
            <v>-</v>
          </cell>
          <cell r="AD95" t="str">
            <v>-</v>
          </cell>
          <cell r="AE95"/>
          <cell r="AF95"/>
          <cell r="AG95"/>
          <cell r="AH95" t="str">
            <v>NEW BUILD</v>
          </cell>
          <cell r="AI95" t="str">
            <v>STIP 1</v>
          </cell>
          <cell r="AJ95" t="str">
            <v>TB</v>
          </cell>
          <cell r="AK95" t="str">
            <v>C</v>
          </cell>
          <cell r="AL95" t="str">
            <v>106.683114</v>
          </cell>
          <cell r="AM95" t="str">
            <v>-6.367789</v>
          </cell>
          <cell r="AN95" t="str">
            <v>Kp. Jeletreng rt. 05 rw 04 kel. Pengasinan kec. Gunung sindur, kab. Bogor</v>
          </cell>
          <cell r="AO95" t="str">
            <v>42 m</v>
          </cell>
          <cell r="AP95" t="str">
            <v>JAWA BARAT</v>
          </cell>
        </row>
        <row r="96">
          <cell r="A96" t="str">
            <v>JAW-JK-KYB-0101</v>
          </cell>
          <cell r="B96">
            <v>30573610031</v>
          </cell>
          <cell r="C96">
            <v>1127931003</v>
          </cell>
          <cell r="D96" t="str">
            <v>JAW-JK-KYB-0101</v>
          </cell>
          <cell r="E96" t="str">
            <v>Situ Babakan Srengseng Sawah</v>
          </cell>
          <cell r="F96">
            <v>43847</v>
          </cell>
          <cell r="G96" t="str">
            <v>JAN 2020</v>
          </cell>
          <cell r="H96">
            <v>341</v>
          </cell>
          <cell r="I96" t="str">
            <v>JABODETABEK (INNER)</v>
          </cell>
          <cell r="J96" t="str">
            <v>JAKARTA SELATAN</v>
          </cell>
          <cell r="K96" t="str">
            <v>XL</v>
          </cell>
          <cell r="L96" t="str">
            <v>-</v>
          </cell>
          <cell r="M96"/>
          <cell r="N96"/>
          <cell r="O96"/>
          <cell r="P96"/>
          <cell r="Q96"/>
          <cell r="R96" t="str">
            <v>KLS</v>
          </cell>
          <cell r="S96" t="str">
            <v>Aditya Rachaman</v>
          </cell>
          <cell r="T96"/>
          <cell r="U96" t="str">
            <v>RFC</v>
          </cell>
          <cell r="V96" t="str">
            <v>12. RFC</v>
          </cell>
          <cell r="W96"/>
          <cell r="X96"/>
          <cell r="Y96"/>
          <cell r="Z96" t="e">
            <v>#N/A</v>
          </cell>
          <cell r="AA96" t="str">
            <v>RFC Done</v>
          </cell>
          <cell r="AB96" t="str">
            <v>RFC Done</v>
          </cell>
          <cell r="AC96"/>
          <cell r="AD96"/>
          <cell r="AE96"/>
          <cell r="AF96"/>
          <cell r="AG96"/>
          <cell r="AH96"/>
          <cell r="AI96"/>
          <cell r="AJ96"/>
          <cell r="AK96"/>
          <cell r="AL96"/>
          <cell r="AM96"/>
          <cell r="AN96"/>
          <cell r="AO96"/>
          <cell r="AP96"/>
        </row>
        <row r="97">
          <cell r="A97" t="str">
            <v>JAW-BT-TNG-1467</v>
          </cell>
          <cell r="B97">
            <v>30572590031</v>
          </cell>
          <cell r="C97">
            <v>1317781003</v>
          </cell>
          <cell r="D97" t="str">
            <v>JAW-BT-TNG-1467</v>
          </cell>
          <cell r="E97" t="str">
            <v>JL INDUSTRI JATAKE</v>
          </cell>
          <cell r="F97">
            <v>43844</v>
          </cell>
          <cell r="G97" t="str">
            <v>JAN 2020</v>
          </cell>
          <cell r="H97">
            <v>344</v>
          </cell>
          <cell r="I97" t="str">
            <v>JABODETABEK (INNER)</v>
          </cell>
          <cell r="J97" t="str">
            <v>KOTA TANGERANG</v>
          </cell>
          <cell r="K97" t="str">
            <v>XL</v>
          </cell>
          <cell r="L97" t="str">
            <v>-</v>
          </cell>
          <cell r="M97"/>
          <cell r="N97"/>
          <cell r="O97"/>
          <cell r="P97"/>
          <cell r="Q97"/>
          <cell r="R97" t="str">
            <v>MIT</v>
          </cell>
          <cell r="S97" t="str">
            <v>Handri Purnama</v>
          </cell>
          <cell r="T97"/>
          <cell r="U97" t="str">
            <v>PRE SITAC</v>
          </cell>
          <cell r="V97" t="str">
            <v>04. Submit Validasi to Operator</v>
          </cell>
          <cell r="W97"/>
          <cell r="X97"/>
          <cell r="Y97"/>
          <cell r="Z97" t="e">
            <v>#N/A</v>
          </cell>
          <cell r="AA97" t="str">
            <v>Approval validasi Kandidat</v>
          </cell>
          <cell r="AB97" t="str">
            <v xml:space="preserve">Eskalasi ke Pak Ipung untuk mitra opsic out (25m) Kand B Ready
 Validasi pergeseran, paralel penyusunan eskalasi </v>
          </cell>
          <cell r="AC97" t="str">
            <v>24 Februari 2020</v>
          </cell>
          <cell r="AD97"/>
          <cell r="AE97"/>
          <cell r="AF97"/>
          <cell r="AG97"/>
          <cell r="AH97"/>
          <cell r="AI97"/>
          <cell r="AJ97"/>
          <cell r="AK97"/>
          <cell r="AL97"/>
          <cell r="AM97"/>
          <cell r="AN97"/>
          <cell r="AO97"/>
          <cell r="AP97"/>
        </row>
        <row r="98">
          <cell r="A98" t="str">
            <v>JAW-BT-TNG-1450</v>
          </cell>
          <cell r="B98">
            <v>30571990031</v>
          </cell>
          <cell r="C98">
            <v>1317381003</v>
          </cell>
          <cell r="D98" t="str">
            <v>JAW-BT-TNG-1450</v>
          </cell>
          <cell r="E98" t="str">
            <v>Kedaung Baru Tangerang</v>
          </cell>
          <cell r="F98">
            <v>43844</v>
          </cell>
          <cell r="G98" t="str">
            <v>JAN 2020</v>
          </cell>
          <cell r="H98">
            <v>344</v>
          </cell>
          <cell r="I98" t="str">
            <v>JABODETABEK (INNER)</v>
          </cell>
          <cell r="J98" t="str">
            <v>KOTA TANGERANG</v>
          </cell>
          <cell r="K98" t="str">
            <v>XL</v>
          </cell>
          <cell r="L98" t="str">
            <v>-</v>
          </cell>
          <cell r="M98"/>
          <cell r="N98"/>
          <cell r="O98"/>
          <cell r="P98"/>
          <cell r="Q98"/>
          <cell r="R98" t="str">
            <v>MIT</v>
          </cell>
          <cell r="S98" t="str">
            <v>Handri Purnama</v>
          </cell>
          <cell r="T98"/>
          <cell r="U98" t="str">
            <v>RFC</v>
          </cell>
          <cell r="V98" t="str">
            <v>12. RFC</v>
          </cell>
          <cell r="W98"/>
          <cell r="X98"/>
          <cell r="Y98"/>
          <cell r="Z98" t="e">
            <v>#N/A</v>
          </cell>
          <cell r="AA98" t="str">
            <v>RFC Done</v>
          </cell>
          <cell r="AB98" t="str">
            <v>RFC Done</v>
          </cell>
          <cell r="AC98" t="str">
            <v>2 Maret 2020</v>
          </cell>
          <cell r="AD98" t="str">
            <v>16 Maret 2020</v>
          </cell>
          <cell r="AE98"/>
          <cell r="AF98"/>
          <cell r="AG98"/>
          <cell r="AH98" t="str">
            <v>NEW BUILD</v>
          </cell>
          <cell r="AI98" t="str">
            <v>STIP 1</v>
          </cell>
          <cell r="AJ98" t="str">
            <v>TB</v>
          </cell>
          <cell r="AK98" t="str">
            <v>D</v>
          </cell>
          <cell r="AL98" t="str">
            <v>106.61312</v>
          </cell>
          <cell r="AM98" t="str">
            <v>-6.12976</v>
          </cell>
          <cell r="AN98" t="str">
            <v>Kp. Pulo Indah RT. 06 RW. 01 Desa Kedaung Barat Kec. Sepatan Timur, Ka</v>
          </cell>
          <cell r="AO98" t="str">
            <v>42 m</v>
          </cell>
          <cell r="AP98" t="str">
            <v>BANTEN</v>
          </cell>
        </row>
        <row r="99">
          <cell r="A99" t="str">
            <v>JAW-BT-TNG-1465</v>
          </cell>
          <cell r="B99">
            <v>30572580031</v>
          </cell>
          <cell r="C99">
            <v>1317771003</v>
          </cell>
          <cell r="D99" t="str">
            <v>JAW-BT-TNG-1465</v>
          </cell>
          <cell r="E99" t="str">
            <v>PASIR JAYA JATIUWUNG</v>
          </cell>
          <cell r="F99">
            <v>43844</v>
          </cell>
          <cell r="G99" t="str">
            <v>JAN 2020</v>
          </cell>
          <cell r="H99">
            <v>344</v>
          </cell>
          <cell r="I99" t="str">
            <v>JABODETABEK (INNER)</v>
          </cell>
          <cell r="J99" t="str">
            <v>KOTA TANGERANG</v>
          </cell>
          <cell r="K99" t="str">
            <v>XL</v>
          </cell>
          <cell r="L99" t="str">
            <v>-</v>
          </cell>
          <cell r="M99"/>
          <cell r="N99"/>
          <cell r="O99"/>
          <cell r="P99"/>
          <cell r="Q99"/>
          <cell r="R99" t="str">
            <v>MIT</v>
          </cell>
          <cell r="S99" t="str">
            <v>Handri Purnama</v>
          </cell>
          <cell r="T99"/>
          <cell r="U99" t="str">
            <v>RFC</v>
          </cell>
          <cell r="V99" t="str">
            <v>12. RFC</v>
          </cell>
          <cell r="W99"/>
          <cell r="X99"/>
          <cell r="Y99"/>
          <cell r="Z99" t="e">
            <v>#N/A</v>
          </cell>
          <cell r="AA99" t="str">
            <v>RFC Done</v>
          </cell>
          <cell r="AB99" t="str">
            <v>RFC Done</v>
          </cell>
          <cell r="AC99" t="str">
            <v>-</v>
          </cell>
          <cell r="AD99" t="str">
            <v>-</v>
          </cell>
          <cell r="AE99"/>
          <cell r="AF99"/>
          <cell r="AG99"/>
          <cell r="AH99" t="str">
            <v>B2S</v>
          </cell>
          <cell r="AI99" t="str">
            <v>STIP 1</v>
          </cell>
          <cell r="AJ99" t="str">
            <v>TB</v>
          </cell>
          <cell r="AK99" t="str">
            <v>E</v>
          </cell>
          <cell r="AL99" t="str">
            <v>106.56358</v>
          </cell>
          <cell r="AM99" t="str">
            <v>-6.19267</v>
          </cell>
          <cell r="AN99" t="str">
            <v>Jl. Gajah Tunggal RT. 01 RW. 02 Kel. Pasir Jaya Kec. Jatiuwung, Kota Tangerang</v>
          </cell>
          <cell r="AO99" t="str">
            <v>42 m</v>
          </cell>
          <cell r="AP99" t="str">
            <v>BANTEN</v>
          </cell>
        </row>
        <row r="100">
          <cell r="A100" t="str">
            <v>JAW-BT-TGR-0027</v>
          </cell>
          <cell r="B100">
            <v>30572310031</v>
          </cell>
          <cell r="C100">
            <v>1317571003</v>
          </cell>
          <cell r="D100" t="str">
            <v>JAW-BT-TGR-0027</v>
          </cell>
          <cell r="E100" t="str">
            <v>Jatake Rangkasbitung</v>
          </cell>
          <cell r="F100">
            <v>43844</v>
          </cell>
          <cell r="G100" t="str">
            <v>JAN 2020</v>
          </cell>
          <cell r="H100">
            <v>344</v>
          </cell>
          <cell r="I100" t="str">
            <v>JABODETABEK (OUTER)</v>
          </cell>
          <cell r="J100" t="str">
            <v>TANGERANG</v>
          </cell>
          <cell r="K100" t="str">
            <v>XL</v>
          </cell>
          <cell r="L100" t="str">
            <v>-</v>
          </cell>
          <cell r="M100"/>
          <cell r="N100"/>
          <cell r="O100"/>
          <cell r="P100"/>
          <cell r="Q100"/>
          <cell r="R100" t="str">
            <v>MIT</v>
          </cell>
          <cell r="S100" t="str">
            <v>Handri Purnama</v>
          </cell>
          <cell r="T100"/>
          <cell r="U100" t="str">
            <v>RFC</v>
          </cell>
          <cell r="V100" t="str">
            <v>12. RFC</v>
          </cell>
          <cell r="W100"/>
          <cell r="X100"/>
          <cell r="Y100"/>
          <cell r="Z100" t="e">
            <v>#N/A</v>
          </cell>
          <cell r="AA100" t="str">
            <v>RFC Done</v>
          </cell>
          <cell r="AB100" t="str">
            <v>RFC Done</v>
          </cell>
          <cell r="AC100" t="str">
            <v>21 Februari 2020</v>
          </cell>
          <cell r="AD100" t="str">
            <v>6 Maret 2020</v>
          </cell>
          <cell r="AE100"/>
          <cell r="AF100"/>
          <cell r="AG100"/>
          <cell r="AH100" t="str">
            <v>NEW BUILD</v>
          </cell>
          <cell r="AI100" t="str">
            <v>STIP 1</v>
          </cell>
          <cell r="AJ100" t="str">
            <v>TB</v>
          </cell>
          <cell r="AK100" t="str">
            <v>B</v>
          </cell>
          <cell r="AL100" t="str">
            <v>106.600861°</v>
          </cell>
          <cell r="AM100" t="str">
            <v>-6.338472°</v>
          </cell>
          <cell r="AN100" t="str">
            <v>Kampung Kandang RT.05 RW.01  Kelurahan Jatake Kecamatan Pagedangan</v>
          </cell>
          <cell r="AO100" t="str">
            <v>42 m</v>
          </cell>
          <cell r="AP100" t="str">
            <v>BANTEN</v>
          </cell>
        </row>
        <row r="101">
          <cell r="A101" t="str">
            <v>JAW-BT-TGR-0024</v>
          </cell>
          <cell r="B101">
            <v>30572220031</v>
          </cell>
          <cell r="C101">
            <v>1317531003</v>
          </cell>
          <cell r="D101" t="str">
            <v>JAW-BT-TGR-0024</v>
          </cell>
          <cell r="E101" t="str">
            <v>Raya Cisauk BSD</v>
          </cell>
          <cell r="F101">
            <v>43844</v>
          </cell>
          <cell r="G101" t="str">
            <v>JAN 2020</v>
          </cell>
          <cell r="H101">
            <v>344</v>
          </cell>
          <cell r="I101" t="str">
            <v>JABODETABEK (OUTER)</v>
          </cell>
          <cell r="J101" t="str">
            <v>TANGERANG</v>
          </cell>
          <cell r="K101" t="str">
            <v>XL</v>
          </cell>
          <cell r="L101" t="str">
            <v>-</v>
          </cell>
          <cell r="M101"/>
          <cell r="N101"/>
          <cell r="O101"/>
          <cell r="P101"/>
          <cell r="Q101"/>
          <cell r="R101" t="str">
            <v>MIT</v>
          </cell>
          <cell r="S101" t="str">
            <v>Handri Purnama</v>
          </cell>
          <cell r="T101"/>
          <cell r="U101" t="str">
            <v>RFC</v>
          </cell>
          <cell r="V101" t="str">
            <v>12. RFC</v>
          </cell>
          <cell r="W101"/>
          <cell r="X101"/>
          <cell r="Y101"/>
          <cell r="Z101" t="e">
            <v>#N/A</v>
          </cell>
          <cell r="AA101" t="str">
            <v>RFC Done</v>
          </cell>
          <cell r="AB101" t="str">
            <v>RFC Done</v>
          </cell>
          <cell r="AC101" t="str">
            <v>24 Februari 2020</v>
          </cell>
          <cell r="AD101" t="str">
            <v>9 Maret 2020</v>
          </cell>
          <cell r="AE101"/>
          <cell r="AF101"/>
          <cell r="AG101"/>
          <cell r="AH101" t="str">
            <v>NEW BUILD</v>
          </cell>
          <cell r="AI101" t="str">
            <v>STIP 1</v>
          </cell>
          <cell r="AJ101" t="str">
            <v>TB</v>
          </cell>
          <cell r="AK101" t="str">
            <v>C</v>
          </cell>
          <cell r="AL101" t="str">
            <v>106.656361°</v>
          </cell>
          <cell r="AM101" t="str">
            <v>-6.308500°</v>
          </cell>
          <cell r="AN101" t="str">
            <v xml:space="preserve"> Kp.Sampora RT.02 RW.02 Desa Sampora Kecamatan Cisauk Kabupaten Tangerang</v>
          </cell>
          <cell r="AO101" t="str">
            <v>32 m</v>
          </cell>
          <cell r="AP101" t="str">
            <v>BANTEN</v>
          </cell>
        </row>
        <row r="102">
          <cell r="A102"/>
          <cell r="B102">
            <v>230579500231</v>
          </cell>
          <cell r="C102">
            <v>1261191023</v>
          </cell>
          <cell r="D102" t="str">
            <v>ZBGR_4676</v>
          </cell>
          <cell r="E102" t="str">
            <v>KEBONKELAPA BOGOR TENGAH</v>
          </cell>
          <cell r="F102">
            <v>43871</v>
          </cell>
          <cell r="G102" t="str">
            <v>FEB 2020</v>
          </cell>
          <cell r="H102">
            <v>317</v>
          </cell>
          <cell r="I102" t="str">
            <v>JABODETABEK (OUTER)</v>
          </cell>
          <cell r="J102" t="str">
            <v>KOTA BOGOR</v>
          </cell>
          <cell r="K102" t="str">
            <v>SMARTFREN</v>
          </cell>
          <cell r="L102" t="str">
            <v>-</v>
          </cell>
          <cell r="M102"/>
          <cell r="N102"/>
          <cell r="O102"/>
          <cell r="P102"/>
          <cell r="Q102"/>
          <cell r="R102" t="str">
            <v>LBL</v>
          </cell>
          <cell r="S102" t="str">
            <v>Handri Purnama</v>
          </cell>
          <cell r="T102"/>
          <cell r="U102" t="str">
            <v>PRE SITAC</v>
          </cell>
          <cell r="V102" t="str">
            <v>03. Review RNP</v>
          </cell>
          <cell r="W102"/>
          <cell r="X102"/>
          <cell r="Y102"/>
          <cell r="Z102" t="e">
            <v>#N/A</v>
          </cell>
          <cell r="AA102" t="str">
            <v>Submit kand A, paralel follow up harga BAN dan IW</v>
          </cell>
          <cell r="AB102" t="str">
            <v>Submit Validasi Kand A. Finalisasi BAN dan IW (kandidat in SAR)</v>
          </cell>
          <cell r="AC102" t="str">
            <v>27 Februari 2020</v>
          </cell>
          <cell r="AD102" t="str">
            <v>12 Maret 2020</v>
          </cell>
          <cell r="AE102"/>
          <cell r="AF102"/>
          <cell r="AG102"/>
          <cell r="AH102"/>
          <cell r="AI102"/>
          <cell r="AJ102"/>
          <cell r="AK102"/>
          <cell r="AL102"/>
          <cell r="AM102"/>
          <cell r="AN102"/>
          <cell r="AO102"/>
          <cell r="AP102"/>
        </row>
        <row r="103">
          <cell r="A103" t="str">
            <v>ZJKT2_6038</v>
          </cell>
          <cell r="B103">
            <v>230579490231</v>
          </cell>
          <cell r="C103">
            <v>1261181023</v>
          </cell>
          <cell r="D103" t="str">
            <v>ZJKT2_6038</v>
          </cell>
          <cell r="E103" t="str">
            <v>CILANGKAP TAPOS</v>
          </cell>
          <cell r="F103">
            <v>43871</v>
          </cell>
          <cell r="G103" t="str">
            <v>FEB 2020</v>
          </cell>
          <cell r="H103">
            <v>317</v>
          </cell>
          <cell r="I103" t="str">
            <v>JABODETABEK (INNER)</v>
          </cell>
          <cell r="J103" t="str">
            <v>KOTA DEPOK</v>
          </cell>
          <cell r="K103" t="str">
            <v>SMARTFREN</v>
          </cell>
          <cell r="L103" t="str">
            <v>-</v>
          </cell>
          <cell r="M103"/>
          <cell r="N103"/>
          <cell r="O103"/>
          <cell r="P103"/>
          <cell r="Q103"/>
          <cell r="R103" t="str">
            <v>LBL</v>
          </cell>
          <cell r="S103" t="str">
            <v>Handri Purnama</v>
          </cell>
          <cell r="T103"/>
          <cell r="U103" t="str">
            <v>SITAC</v>
          </cell>
          <cell r="V103" t="str">
            <v>05. BAN/BAK</v>
          </cell>
          <cell r="W103"/>
          <cell r="X103"/>
          <cell r="Y103"/>
          <cell r="Z103" t="e">
            <v>#N/A</v>
          </cell>
          <cell r="AA103" t="str">
            <v>Validasi kand A OK, BAN 20jt, potensi IW 50%</v>
          </cell>
          <cell r="AB103" t="str">
            <v>OG NEGO BAN DAN IW</v>
          </cell>
          <cell r="AC103" t="str">
            <v>27 Februari 2020</v>
          </cell>
          <cell r="AD103" t="str">
            <v>12 Maret 2020</v>
          </cell>
          <cell r="AE103"/>
          <cell r="AF103"/>
          <cell r="AG103"/>
          <cell r="AH103" t="str">
            <v>NEW BUILD</v>
          </cell>
          <cell r="AI103" t="str">
            <v>STIP 1</v>
          </cell>
          <cell r="AJ103" t="str">
            <v>TB</v>
          </cell>
          <cell r="AK103" t="str">
            <v>A</v>
          </cell>
          <cell r="AL103" t="str">
            <v>106.8635</v>
          </cell>
          <cell r="AM103" t="str">
            <v>-6.45459</v>
          </cell>
          <cell r="AN103" t="str">
            <v>Jl Raya Tapos RT. 05 RW. 07 Kel. Cimparun Kec. Tapos Kota Depok</v>
          </cell>
          <cell r="AO103">
            <v>32</v>
          </cell>
          <cell r="AP103" t="str">
            <v>JAWA BARAT</v>
          </cell>
        </row>
        <row r="104">
          <cell r="A104"/>
          <cell r="B104">
            <v>230579820231</v>
          </cell>
          <cell r="C104">
            <v>1261291023</v>
          </cell>
          <cell r="D104" t="str">
            <v>ZJKT2_5911</v>
          </cell>
          <cell r="E104" t="str">
            <v>CIMUNING MUSTIKAJAYA</v>
          </cell>
          <cell r="F104">
            <v>43871</v>
          </cell>
          <cell r="G104" t="str">
            <v>FEB 2020</v>
          </cell>
          <cell r="H104">
            <v>317</v>
          </cell>
          <cell r="I104" t="str">
            <v>JABODETABEK (OUTER)</v>
          </cell>
          <cell r="J104" t="str">
            <v>KOTA BEKASI</v>
          </cell>
          <cell r="K104" t="str">
            <v>SMARTFREN</v>
          </cell>
          <cell r="L104" t="str">
            <v>-</v>
          </cell>
          <cell r="M104"/>
          <cell r="N104"/>
          <cell r="O104"/>
          <cell r="P104"/>
          <cell r="Q104"/>
          <cell r="R104" t="str">
            <v>LBL</v>
          </cell>
          <cell r="S104" t="str">
            <v>Handri Purnama</v>
          </cell>
          <cell r="T104"/>
          <cell r="U104" t="str">
            <v>PRE SITAC</v>
          </cell>
          <cell r="V104" t="str">
            <v>03. Review RNP</v>
          </cell>
          <cell r="W104"/>
          <cell r="X104"/>
          <cell r="Y104"/>
          <cell r="Z104" t="str">
            <v>Need dicuss</v>
          </cell>
          <cell r="AA104" t="str">
            <v>Validasi kand A OK REJECT WARGA, Validasi kandidat B dan C</v>
          </cell>
          <cell r="AB104" t="str">
            <v>Nego BAN dan start soswar</v>
          </cell>
          <cell r="AC104" t="str">
            <v>27 Februari 2020</v>
          </cell>
          <cell r="AD104" t="str">
            <v>12 Maret 2020</v>
          </cell>
          <cell r="AE104"/>
          <cell r="AF104"/>
          <cell r="AG104"/>
          <cell r="AH104"/>
          <cell r="AI104"/>
          <cell r="AJ104"/>
          <cell r="AK104"/>
          <cell r="AL104"/>
          <cell r="AM104"/>
          <cell r="AN104"/>
          <cell r="AO104"/>
          <cell r="AP104"/>
        </row>
        <row r="105">
          <cell r="A105"/>
          <cell r="B105">
            <v>230579800231</v>
          </cell>
          <cell r="C105">
            <v>1261271023</v>
          </cell>
          <cell r="D105" t="str">
            <v>ZJKT2_6016</v>
          </cell>
          <cell r="E105" t="str">
            <v>KOTA BARU BEKASI BARAT</v>
          </cell>
          <cell r="F105">
            <v>43871</v>
          </cell>
          <cell r="G105" t="str">
            <v>FEB 2020</v>
          </cell>
          <cell r="H105">
            <v>317</v>
          </cell>
          <cell r="I105" t="str">
            <v>JABODETABEK (OUTER)</v>
          </cell>
          <cell r="J105" t="str">
            <v>KOTA BEKASI</v>
          </cell>
          <cell r="K105" t="str">
            <v>SMARTFREN</v>
          </cell>
          <cell r="L105" t="str">
            <v>-</v>
          </cell>
          <cell r="M105"/>
          <cell r="N105"/>
          <cell r="O105"/>
          <cell r="P105"/>
          <cell r="Q105"/>
          <cell r="R105" t="str">
            <v>LBL</v>
          </cell>
          <cell r="S105" t="str">
            <v>Handri Purnama</v>
          </cell>
          <cell r="T105"/>
          <cell r="U105" t="str">
            <v>SITAC</v>
          </cell>
          <cell r="V105" t="str">
            <v>05. BAN/BAK</v>
          </cell>
          <cell r="W105"/>
          <cell r="X105"/>
          <cell r="Y105"/>
          <cell r="Z105" t="e">
            <v>#N/A</v>
          </cell>
          <cell r="AA105" t="str">
            <v>Validasi kand A OK, BAN dan IW NY</v>
          </cell>
          <cell r="AB105" t="str">
            <v>Nego BAN dan start soswar</v>
          </cell>
          <cell r="AC105" t="str">
            <v>27 Februari 2020</v>
          </cell>
          <cell r="AD105" t="str">
            <v>12 Maret 2020</v>
          </cell>
          <cell r="AE105"/>
          <cell r="AF105"/>
          <cell r="AG105"/>
          <cell r="AH105"/>
          <cell r="AI105"/>
          <cell r="AJ105"/>
          <cell r="AK105"/>
          <cell r="AL105"/>
          <cell r="AM105"/>
          <cell r="AN105"/>
          <cell r="AO105"/>
          <cell r="AP105"/>
        </row>
        <row r="106">
          <cell r="A106"/>
          <cell r="B106">
            <v>230579920231</v>
          </cell>
          <cell r="C106">
            <v>1261311023</v>
          </cell>
          <cell r="D106" t="str">
            <v>ZJKT2_5922</v>
          </cell>
          <cell r="E106" t="str">
            <v>TANAH BARU BEJI</v>
          </cell>
          <cell r="F106">
            <v>43872</v>
          </cell>
          <cell r="G106" t="str">
            <v>FEB 2020</v>
          </cell>
          <cell r="H106">
            <v>316</v>
          </cell>
          <cell r="I106" t="str">
            <v>JABODETABEK (INNER)</v>
          </cell>
          <cell r="J106" t="str">
            <v>KOTA DEPOK</v>
          </cell>
          <cell r="K106" t="str">
            <v>SMARTFREN</v>
          </cell>
          <cell r="L106" t="str">
            <v>-</v>
          </cell>
          <cell r="M106"/>
          <cell r="N106"/>
          <cell r="O106"/>
          <cell r="P106"/>
          <cell r="Q106"/>
          <cell r="R106" t="str">
            <v>LBL</v>
          </cell>
          <cell r="S106" t="str">
            <v>Handri Purnama</v>
          </cell>
          <cell r="T106"/>
          <cell r="U106" t="str">
            <v>SITAC</v>
          </cell>
          <cell r="V106" t="str">
            <v>05. BAN/BAK</v>
          </cell>
          <cell r="W106"/>
          <cell r="X106"/>
          <cell r="Y106"/>
          <cell r="Z106" t="e">
            <v>#N/A</v>
          </cell>
          <cell r="AA106" t="str">
            <v>Validasi kand A OK, BAN 15jt, potensi IW 50%</v>
          </cell>
          <cell r="AB106" t="str">
            <v xml:space="preserve">Start soswar dan penyusunan eskalasi </v>
          </cell>
          <cell r="AC106" t="str">
            <v>27 Februari 2020</v>
          </cell>
          <cell r="AD106" t="str">
            <v>12 Maret 2020</v>
          </cell>
          <cell r="AE106"/>
          <cell r="AF106"/>
          <cell r="AG106"/>
          <cell r="AH106"/>
          <cell r="AI106"/>
          <cell r="AJ106"/>
          <cell r="AK106"/>
          <cell r="AL106"/>
          <cell r="AM106"/>
          <cell r="AN106"/>
          <cell r="AO106"/>
          <cell r="AP106"/>
        </row>
        <row r="107">
          <cell r="A107" t="str">
            <v>ZBGR_4328</v>
          </cell>
          <cell r="B107">
            <v>230575230231</v>
          </cell>
          <cell r="C107">
            <v>1261051023</v>
          </cell>
          <cell r="D107" t="str">
            <v>ZBGR_4328</v>
          </cell>
          <cell r="E107" t="str">
            <v>BOJONGGEDE_BOGOR</v>
          </cell>
          <cell r="F107">
            <v>43858</v>
          </cell>
          <cell r="G107" t="str">
            <v>JAN 2020</v>
          </cell>
          <cell r="H107">
            <v>330</v>
          </cell>
          <cell r="I107" t="str">
            <v>JABODETABEK (OUTER)</v>
          </cell>
          <cell r="J107" t="str">
            <v>BOGOR</v>
          </cell>
          <cell r="K107" t="str">
            <v>SMARTFREN</v>
          </cell>
          <cell r="L107" t="str">
            <v>-</v>
          </cell>
          <cell r="M107"/>
          <cell r="N107"/>
          <cell r="O107"/>
          <cell r="P107"/>
          <cell r="Q107"/>
          <cell r="R107" t="str">
            <v>Orlie</v>
          </cell>
          <cell r="S107" t="str">
            <v>Handri Purnama</v>
          </cell>
          <cell r="T107"/>
          <cell r="U107" t="str">
            <v>PRE SITAC</v>
          </cell>
          <cell r="V107" t="str">
            <v>03. Review RNP</v>
          </cell>
          <cell r="W107"/>
          <cell r="X107" t="str">
            <v>W4 Mart</v>
          </cell>
          <cell r="Y107"/>
          <cell r="Z107" t="e">
            <v>#N/A</v>
          </cell>
          <cell r="AA107" t="str">
            <v>Validasi kand A, BAN 24jt, IW clear, waiting eskalasi</v>
          </cell>
          <cell r="AB107" t="str">
            <v>eskalasi done submit</v>
          </cell>
          <cell r="AC107" t="str">
            <v>24 Februari 2020</v>
          </cell>
          <cell r="AD107" t="str">
            <v>10 Maret 2020</v>
          </cell>
          <cell r="AE107"/>
          <cell r="AF107"/>
          <cell r="AG107"/>
          <cell r="AH107" t="str">
            <v>NEW BUILD</v>
          </cell>
          <cell r="AI107" t="str">
            <v>STIP 1</v>
          </cell>
          <cell r="AJ107" t="str">
            <v>TB</v>
          </cell>
          <cell r="AK107" t="str">
            <v>A</v>
          </cell>
          <cell r="AL107" t="str">
            <v>106.79822</v>
          </cell>
          <cell r="AM107" t="str">
            <v>-6.48802</v>
          </cell>
          <cell r="AN107" t="str">
            <v>KP.Masjid RT 003 RW 004 desa Bojonggede kecamatan Bojonggede kabupaten Bogor provinsi Jawa Barat</v>
          </cell>
          <cell r="AO107" t="str">
            <v xml:space="preserve">42 m </v>
          </cell>
          <cell r="AP107" t="str">
            <v>JAWA BARAT</v>
          </cell>
        </row>
        <row r="108">
          <cell r="A108" t="str">
            <v>JAW-JB-CBI-0068</v>
          </cell>
          <cell r="B108">
            <v>30573430031</v>
          </cell>
          <cell r="C108">
            <v>1260971003</v>
          </cell>
          <cell r="D108" t="str">
            <v>JAW-JB-CBI-0068</v>
          </cell>
          <cell r="E108" t="str">
            <v>Klapanunggal Cileungsi</v>
          </cell>
          <cell r="F108">
            <v>43846</v>
          </cell>
          <cell r="G108" t="str">
            <v>JAN 2020</v>
          </cell>
          <cell r="H108">
            <v>342</v>
          </cell>
          <cell r="I108" t="str">
            <v>JABODETABEK (OUTER)</v>
          </cell>
          <cell r="J108" t="str">
            <v>BOGOR</v>
          </cell>
          <cell r="K108" t="str">
            <v>XL</v>
          </cell>
          <cell r="L108" t="str">
            <v>-</v>
          </cell>
          <cell r="M108"/>
          <cell r="N108"/>
          <cell r="O108"/>
          <cell r="P108"/>
          <cell r="Q108"/>
          <cell r="R108" t="str">
            <v>Orlie</v>
          </cell>
          <cell r="S108" t="str">
            <v>Handri Purnama</v>
          </cell>
          <cell r="T108"/>
          <cell r="U108" t="str">
            <v>RFC</v>
          </cell>
          <cell r="V108" t="str">
            <v>12. RFC</v>
          </cell>
          <cell r="W108"/>
          <cell r="X108" t="str">
            <v>W4 Mart</v>
          </cell>
          <cell r="Y108"/>
          <cell r="Z108" t="e">
            <v>#N/A</v>
          </cell>
          <cell r="AA108" t="str">
            <v>RFC Done</v>
          </cell>
          <cell r="AB108" t="str">
            <v>RFC Done</v>
          </cell>
          <cell r="AC108" t="str">
            <v>-</v>
          </cell>
          <cell r="AD108" t="str">
            <v>6 Maret 2020</v>
          </cell>
          <cell r="AE108"/>
          <cell r="AF108"/>
          <cell r="AG108"/>
          <cell r="AH108" t="str">
            <v>NEW BUILD</v>
          </cell>
          <cell r="AI108" t="str">
            <v>STIP 1</v>
          </cell>
          <cell r="AJ108" t="str">
            <v>TB</v>
          </cell>
          <cell r="AK108" t="str">
            <v>C</v>
          </cell>
          <cell r="AL108" t="str">
            <v>106.95828</v>
          </cell>
          <cell r="AM108" t="str">
            <v>-6.44443</v>
          </cell>
          <cell r="AN108" t="str">
            <v>Kp. Sindanglengo Rt.006 Rw.004, Ds. Klapanunggal, Kec. Klapanunggal, Kab. Bogor, Jawa Barat</v>
          </cell>
          <cell r="AO108" t="str">
            <v>42 m</v>
          </cell>
          <cell r="AP108" t="str">
            <v>JAWA BARAT</v>
          </cell>
        </row>
        <row r="109">
          <cell r="A109" t="str">
            <v>ZJKT2_5122</v>
          </cell>
          <cell r="B109">
            <v>230560380231</v>
          </cell>
          <cell r="C109">
            <v>1317331023</v>
          </cell>
          <cell r="D109" t="str">
            <v>new Infill_43</v>
          </cell>
          <cell r="E109" t="str">
            <v>CIPUTAT 3</v>
          </cell>
          <cell r="F109">
            <v>43829</v>
          </cell>
          <cell r="G109" t="str">
            <v>DES 2019</v>
          </cell>
          <cell r="H109">
            <v>359</v>
          </cell>
          <cell r="I109" t="str">
            <v>JABODETABEK (OUTER)</v>
          </cell>
          <cell r="J109" t="str">
            <v>TANGERANG SELATAN</v>
          </cell>
          <cell r="K109" t="str">
            <v>SMARTFREN</v>
          </cell>
          <cell r="L109" t="str">
            <v>-</v>
          </cell>
          <cell r="M109"/>
          <cell r="N109"/>
          <cell r="O109"/>
          <cell r="P109"/>
          <cell r="Q109"/>
          <cell r="R109" t="str">
            <v>Turangga</v>
          </cell>
          <cell r="S109" t="str">
            <v>Aditya Rachaman</v>
          </cell>
          <cell r="T109"/>
          <cell r="U109" t="str">
            <v>PRE SITAC</v>
          </cell>
          <cell r="V109" t="str">
            <v>03. Review RNP</v>
          </cell>
          <cell r="W109"/>
          <cell r="X109"/>
          <cell r="Y109"/>
          <cell r="Z109" t="e">
            <v>#N/A</v>
          </cell>
          <cell r="AA109" t="str">
            <v>Submit kandidat B, BAN 20jt, potensi IW CLEAR</v>
          </cell>
          <cell r="AB109" t="str">
            <v>Makesure BAN dan IW kand B</v>
          </cell>
          <cell r="AC109" t="str">
            <v>24 Februari 2020</v>
          </cell>
          <cell r="AD109" t="str">
            <v>9 Maret 2020</v>
          </cell>
          <cell r="AE109"/>
          <cell r="AF109"/>
          <cell r="AG109"/>
          <cell r="AH109"/>
          <cell r="AI109"/>
          <cell r="AJ109"/>
          <cell r="AK109"/>
          <cell r="AL109"/>
          <cell r="AM109"/>
          <cell r="AN109"/>
          <cell r="AO109"/>
          <cell r="AP109"/>
        </row>
        <row r="110">
          <cell r="A110" t="str">
            <v>ZBGR_4670</v>
          </cell>
          <cell r="B110">
            <v>230580760231</v>
          </cell>
          <cell r="C110">
            <v>1261571023</v>
          </cell>
          <cell r="D110" t="str">
            <v>ZBGR_4670</v>
          </cell>
          <cell r="E110" t="str">
            <v>CIMANGGU 2 CIBUNGBULANG</v>
          </cell>
          <cell r="F110">
            <v>43872</v>
          </cell>
          <cell r="G110" t="str">
            <v>FEB 2020</v>
          </cell>
          <cell r="H110">
            <v>316</v>
          </cell>
          <cell r="I110" t="str">
            <v>JABODETABEK (OUTER)</v>
          </cell>
          <cell r="J110" t="str">
            <v>BOGOR</v>
          </cell>
          <cell r="K110" t="str">
            <v>SMARTFREN</v>
          </cell>
          <cell r="L110" t="str">
            <v>-</v>
          </cell>
          <cell r="M110"/>
          <cell r="N110"/>
          <cell r="O110"/>
          <cell r="P110"/>
          <cell r="Q110"/>
          <cell r="R110" t="str">
            <v>BNP</v>
          </cell>
          <cell r="S110" t="str">
            <v>Aditya Rachaman</v>
          </cell>
          <cell r="T110"/>
          <cell r="U110" t="str">
            <v>SITAC</v>
          </cell>
          <cell r="V110" t="str">
            <v>05. BAN/BAK</v>
          </cell>
          <cell r="W110"/>
          <cell r="X110"/>
          <cell r="Y110"/>
          <cell r="Z110" t="e">
            <v>#N/A</v>
          </cell>
          <cell r="AA110" t="str">
            <v>Fixed Kand A, BAN 17JT IW CLEAR, ESKLASI SUBMIT
Kandidat A dan B OK, 42m, BAN OG, Potensi IW 70%</v>
          </cell>
          <cell r="AB110" t="str">
            <v>Submit eskalasi ARO</v>
          </cell>
          <cell r="AC110" t="str">
            <v>28 Februari 2020</v>
          </cell>
          <cell r="AD110" t="str">
            <v>16 Maret 2020</v>
          </cell>
          <cell r="AE110"/>
          <cell r="AF110"/>
          <cell r="AG110"/>
          <cell r="AH110" t="str">
            <v>NEW BUILD</v>
          </cell>
          <cell r="AI110" t="str">
            <v>STIP 1</v>
          </cell>
          <cell r="AJ110" t="str">
            <v>TB</v>
          </cell>
          <cell r="AK110" t="str">
            <v>B</v>
          </cell>
          <cell r="AL110" t="str">
            <v>106.66093</v>
          </cell>
          <cell r="AM110" t="str">
            <v>-6.56514</v>
          </cell>
          <cell r="AN110" t="str">
            <v>Kp Cisaeur RT. 06 RW. 04 Kel. Cimanggu II Kec. Cibungbulang, Kab. Bogor</v>
          </cell>
          <cell r="AO110" t="str">
            <v>42 m</v>
          </cell>
          <cell r="AP110" t="str">
            <v>JAWA BARAT</v>
          </cell>
        </row>
        <row r="111">
          <cell r="A111"/>
          <cell r="B111">
            <v>230579980231</v>
          </cell>
          <cell r="C111">
            <v>1261341023</v>
          </cell>
          <cell r="D111" t="str">
            <v>ZJKT2_5920</v>
          </cell>
          <cell r="E111" t="str">
            <v>RAWAKALONG GUNUNG SINDUR</v>
          </cell>
          <cell r="F111">
            <v>43872</v>
          </cell>
          <cell r="G111" t="str">
            <v>FEB 2020</v>
          </cell>
          <cell r="H111">
            <v>316</v>
          </cell>
          <cell r="I111" t="str">
            <v>JABODETABEK (OUTER)</v>
          </cell>
          <cell r="J111" t="str">
            <v>BOGOR</v>
          </cell>
          <cell r="K111" t="str">
            <v>SMARTFREN</v>
          </cell>
          <cell r="L111" t="str">
            <v>-</v>
          </cell>
          <cell r="M111"/>
          <cell r="N111"/>
          <cell r="O111"/>
          <cell r="P111"/>
          <cell r="Q111"/>
          <cell r="R111" t="str">
            <v>BNP</v>
          </cell>
          <cell r="S111" t="str">
            <v>Aditya Rachaman</v>
          </cell>
          <cell r="T111"/>
          <cell r="U111" t="str">
            <v>PRE SITAC</v>
          </cell>
          <cell r="V111" t="str">
            <v>03. Review RNP</v>
          </cell>
          <cell r="W111"/>
          <cell r="X111"/>
          <cell r="Y111"/>
          <cell r="Z111" t="e">
            <v>#N/A</v>
          </cell>
          <cell r="AA111" t="str">
            <v>Kandidat A dan B proses IW,Cand A reject warga,cand B ( hard price 30jt/thn ),proses valdidasi cand C</v>
          </cell>
          <cell r="AB111" t="str">
            <v>FU BAN dan IW</v>
          </cell>
          <cell r="AC111" t="str">
            <v>28 Februari 2020</v>
          </cell>
          <cell r="AD111" t="str">
            <v>16 Maret 2020</v>
          </cell>
          <cell r="AE111"/>
          <cell r="AF111"/>
          <cell r="AG111"/>
          <cell r="AH111"/>
          <cell r="AI111"/>
          <cell r="AJ111"/>
          <cell r="AK111"/>
          <cell r="AL111"/>
          <cell r="AM111"/>
          <cell r="AN111"/>
          <cell r="AO111"/>
          <cell r="AP111"/>
        </row>
        <row r="112">
          <cell r="A112"/>
          <cell r="B112">
            <v>230579530231</v>
          </cell>
          <cell r="C112">
            <v>1261201023</v>
          </cell>
          <cell r="D112" t="str">
            <v>ZBGR_4675</v>
          </cell>
          <cell r="E112" t="str">
            <v>SITU ILIR CIBUNGBULANG</v>
          </cell>
          <cell r="F112">
            <v>43871</v>
          </cell>
          <cell r="G112" t="str">
            <v>FEB 2020</v>
          </cell>
          <cell r="H112">
            <v>317</v>
          </cell>
          <cell r="I112" t="str">
            <v>JABODETABEK (OUTER)</v>
          </cell>
          <cell r="J112" t="str">
            <v>BOGOR</v>
          </cell>
          <cell r="K112" t="str">
            <v>SMARTFREN</v>
          </cell>
          <cell r="L112" t="str">
            <v>-</v>
          </cell>
          <cell r="M112"/>
          <cell r="N112"/>
          <cell r="O112"/>
          <cell r="P112"/>
          <cell r="Q112"/>
          <cell r="R112" t="str">
            <v>BNP</v>
          </cell>
          <cell r="S112" t="str">
            <v>Aditya Rachaman</v>
          </cell>
          <cell r="T112"/>
          <cell r="U112" t="str">
            <v>PRE SITAC</v>
          </cell>
          <cell r="V112" t="str">
            <v>03. Review RNP</v>
          </cell>
          <cell r="W112"/>
          <cell r="X112"/>
          <cell r="Y112"/>
          <cell r="Z112" t="e">
            <v>#N/A</v>
          </cell>
          <cell r="AA112" t="str">
            <v>Kandidat A dan B OK, 42m, BAN OG, Potensi IW 70% REJECT WARGA, VALIDASI KAND C BAN 17jt/thn,potensi IW 80%</v>
          </cell>
          <cell r="AB112" t="str">
            <v>FU BAN dan IW Clear</v>
          </cell>
          <cell r="AC112" t="str">
            <v>28 Februari 2020</v>
          </cell>
          <cell r="AD112" t="str">
            <v>16 Maret 2020</v>
          </cell>
          <cell r="AE112"/>
          <cell r="AF112"/>
          <cell r="AG112"/>
          <cell r="AH112"/>
          <cell r="AI112"/>
          <cell r="AJ112"/>
          <cell r="AK112" t="str">
            <v>A</v>
          </cell>
          <cell r="AL112"/>
          <cell r="AM112"/>
          <cell r="AN112"/>
          <cell r="AO112"/>
          <cell r="AP112"/>
        </row>
        <row r="113">
          <cell r="A113" t="str">
            <v>ZBGR_4671</v>
          </cell>
          <cell r="B113">
            <v>230580750231</v>
          </cell>
          <cell r="C113">
            <v>1261561023</v>
          </cell>
          <cell r="D113" t="str">
            <v>ZBGR_4671</v>
          </cell>
          <cell r="E113" t="str">
            <v>SUKARESMI TAMANSARI</v>
          </cell>
          <cell r="F113">
            <v>43872</v>
          </cell>
          <cell r="G113" t="str">
            <v>FEB 2020</v>
          </cell>
          <cell r="H113">
            <v>316</v>
          </cell>
          <cell r="I113" t="str">
            <v>JABODETABEK (OUTER)</v>
          </cell>
          <cell r="J113" t="str">
            <v>BOGOR</v>
          </cell>
          <cell r="K113" t="str">
            <v>SMARTFREN</v>
          </cell>
          <cell r="L113" t="str">
            <v>-</v>
          </cell>
          <cell r="M113"/>
          <cell r="N113"/>
          <cell r="O113"/>
          <cell r="P113"/>
          <cell r="Q113"/>
          <cell r="R113" t="str">
            <v>BNP</v>
          </cell>
          <cell r="S113" t="str">
            <v>Aditya Rachaman</v>
          </cell>
          <cell r="T113"/>
          <cell r="U113" t="str">
            <v>SITAC</v>
          </cell>
          <cell r="V113" t="str">
            <v>05. BAN/BAK</v>
          </cell>
          <cell r="W113"/>
          <cell r="X113"/>
          <cell r="Y113"/>
          <cell r="Z113" t="str">
            <v>Propose increase RF to 40m</v>
          </cell>
          <cell r="AA113" t="str">
            <v>Propose increase RF to 40m kand A
Kandidat A dan B OK, 42m, BAN OG, Potensi IW 70%</v>
          </cell>
          <cell r="AB113" t="str">
            <v>FU Eskalasi Sitac BAN CLEAR (15JT) dan IW Clear</v>
          </cell>
          <cell r="AC113" t="str">
            <v>28 Februari 2020</v>
          </cell>
          <cell r="AD113" t="str">
            <v>16 Maret 2020</v>
          </cell>
          <cell r="AE113"/>
          <cell r="AF113"/>
          <cell r="AG113"/>
          <cell r="AH113" t="str">
            <v>NEW BUILD</v>
          </cell>
          <cell r="AI113" t="str">
            <v>STIP 1</v>
          </cell>
          <cell r="AJ113" t="str">
            <v>TB</v>
          </cell>
          <cell r="AK113" t="str">
            <v>C</v>
          </cell>
          <cell r="AL113" t="str">
            <v>106.7604</v>
          </cell>
          <cell r="AM113" t="str">
            <v>-6.62475</v>
          </cell>
          <cell r="AN113" t="str">
            <v>Kp. Cileur, RT.5/8, Desa Sukaresmi, Kec. Tamansari</v>
          </cell>
          <cell r="AO113" t="str">
            <v>42m</v>
          </cell>
          <cell r="AP113" t="str">
            <v>JAWA BARAT</v>
          </cell>
        </row>
        <row r="114">
          <cell r="A114" t="str">
            <v>JAW-BT-TNG-1468</v>
          </cell>
          <cell r="B114">
            <v>30572600031</v>
          </cell>
          <cell r="C114">
            <v>1317791003</v>
          </cell>
          <cell r="D114" t="str">
            <v>JAW-BT-TNG-1468</v>
          </cell>
          <cell r="E114" t="str">
            <v>KARANGSARI NEGLASARI</v>
          </cell>
          <cell r="F114">
            <v>43844</v>
          </cell>
          <cell r="G114" t="str">
            <v>JAN 2020</v>
          </cell>
          <cell r="H114">
            <v>344</v>
          </cell>
          <cell r="I114" t="str">
            <v>JABODETABEK (INNER)</v>
          </cell>
          <cell r="J114" t="str">
            <v>KOTA TANGERANG</v>
          </cell>
          <cell r="K114" t="str">
            <v>XL</v>
          </cell>
          <cell r="L114" t="str">
            <v>-</v>
          </cell>
          <cell r="M114"/>
          <cell r="N114">
            <v>106.63676100000001</v>
          </cell>
          <cell r="O114" t="e">
            <v>#N/A</v>
          </cell>
          <cell r="P114">
            <v>0</v>
          </cell>
          <cell r="Q114" t="e">
            <v>#N/A</v>
          </cell>
          <cell r="R114" t="str">
            <v>NY MITRA</v>
          </cell>
          <cell r="S114" t="str">
            <v>Aditya Rachman</v>
          </cell>
          <cell r="T114"/>
          <cell r="U114" t="str">
            <v>SITAC</v>
          </cell>
          <cell r="V114" t="str">
            <v>05. BAN/BAK</v>
          </cell>
          <cell r="W114"/>
          <cell r="X114" t="str">
            <v>November</v>
          </cell>
          <cell r="Y114"/>
          <cell r="Z114" t="e">
            <v>#N/A</v>
          </cell>
          <cell r="AA114" t="str">
            <v>Negosiasi dengan pihak pemilik lahan</v>
          </cell>
          <cell r="AB114" t="str">
            <v>Pak Fadhil</v>
          </cell>
          <cell r="AC114" t="str">
            <v>-</v>
          </cell>
          <cell r="AD114"/>
          <cell r="AE114"/>
          <cell r="AF114"/>
          <cell r="AG114"/>
          <cell r="AH114"/>
          <cell r="AI114"/>
          <cell r="AJ114"/>
          <cell r="AK114"/>
          <cell r="AL114"/>
          <cell r="AM114"/>
          <cell r="AN114"/>
          <cell r="AO114"/>
          <cell r="AP114"/>
        </row>
        <row r="115">
          <cell r="A115" t="str">
            <v>JAW-BT-TGR-0049</v>
          </cell>
          <cell r="B115">
            <v>30572190031</v>
          </cell>
          <cell r="C115">
            <v>1317511003</v>
          </cell>
          <cell r="D115" t="str">
            <v>JAW-BT-TGR-0049</v>
          </cell>
          <cell r="E115" t="str">
            <v>Griya Sukatani Mekarsari</v>
          </cell>
          <cell r="F115">
            <v>43844</v>
          </cell>
          <cell r="G115" t="str">
            <v>JAN 2020</v>
          </cell>
          <cell r="H115">
            <v>344</v>
          </cell>
          <cell r="I115" t="str">
            <v>JABODETABEK (OUTER)</v>
          </cell>
          <cell r="J115" t="str">
            <v>TANGERANG</v>
          </cell>
          <cell r="K115" t="str">
            <v>XL</v>
          </cell>
          <cell r="L115" t="str">
            <v>-</v>
          </cell>
          <cell r="M115"/>
          <cell r="N115"/>
          <cell r="O115"/>
          <cell r="P115"/>
          <cell r="Q115"/>
          <cell r="R115" t="str">
            <v>BNP</v>
          </cell>
          <cell r="S115" t="str">
            <v>Aditya Rachaman</v>
          </cell>
          <cell r="T115"/>
          <cell r="U115" t="str">
            <v>RFC</v>
          </cell>
          <cell r="V115" t="str">
            <v>12. RFC</v>
          </cell>
          <cell r="W115"/>
          <cell r="X115"/>
          <cell r="Y115"/>
          <cell r="Z115" t="e">
            <v>#N/A</v>
          </cell>
          <cell r="AA115" t="str">
            <v>RFC Done</v>
          </cell>
          <cell r="AB115" t="str">
            <v>RFC Done</v>
          </cell>
          <cell r="AC115" t="str">
            <v>24 Februari 2020</v>
          </cell>
          <cell r="AD115" t="str">
            <v>12 Maret 2020</v>
          </cell>
          <cell r="AE115"/>
          <cell r="AF115"/>
          <cell r="AG115"/>
          <cell r="AH115" t="str">
            <v>NEW BUILD</v>
          </cell>
          <cell r="AI115" t="str">
            <v>STIP 1</v>
          </cell>
          <cell r="AJ115" t="str">
            <v>TB</v>
          </cell>
          <cell r="AK115" t="str">
            <v>A</v>
          </cell>
          <cell r="AL115" t="str">
            <v>106.532867°</v>
          </cell>
          <cell r="AM115" t="str">
            <v xml:space="preserve"> -6.128375°</v>
          </cell>
          <cell r="AN115" t="str">
            <v>Kp.Pondok Cikurus RT.07/02, Desa Mekarsari,  Kec. Rajeg Kabupaten Tangerang</v>
          </cell>
          <cell r="AO115" t="str">
            <v>42 m</v>
          </cell>
          <cell r="AP115" t="str">
            <v>BANTEN</v>
          </cell>
        </row>
        <row r="116">
          <cell r="A116" t="str">
            <v>JAW-BT-TGR-0031</v>
          </cell>
          <cell r="B116">
            <v>30572160031</v>
          </cell>
          <cell r="C116">
            <v>1317481003</v>
          </cell>
          <cell r="D116" t="str">
            <v>JAW-BT-TGR-0031</v>
          </cell>
          <cell r="E116" t="str">
            <v>Kayu Agung Sepatan</v>
          </cell>
          <cell r="F116">
            <v>43844</v>
          </cell>
          <cell r="G116" t="str">
            <v>JAN 2020</v>
          </cell>
          <cell r="H116">
            <v>344</v>
          </cell>
          <cell r="I116" t="str">
            <v>JABODETABEK (OUTER)</v>
          </cell>
          <cell r="J116" t="str">
            <v>TANGERANG</v>
          </cell>
          <cell r="K116" t="str">
            <v>XL</v>
          </cell>
          <cell r="L116" t="str">
            <v>-</v>
          </cell>
          <cell r="M116"/>
          <cell r="N116"/>
          <cell r="O116"/>
          <cell r="P116"/>
          <cell r="Q116"/>
          <cell r="R116" t="str">
            <v>BNP</v>
          </cell>
          <cell r="S116" t="str">
            <v>Aditya Rachaman</v>
          </cell>
          <cell r="T116"/>
          <cell r="U116" t="str">
            <v>RFC</v>
          </cell>
          <cell r="V116" t="str">
            <v>12. RFC</v>
          </cell>
          <cell r="W116"/>
          <cell r="X116"/>
          <cell r="Y116"/>
          <cell r="Z116" t="e">
            <v>#N/A</v>
          </cell>
          <cell r="AA116" t="str">
            <v>RFC Done</v>
          </cell>
          <cell r="AB116" t="str">
            <v>RFC Done</v>
          </cell>
          <cell r="AC116" t="str">
            <v>21 Februari 2020</v>
          </cell>
          <cell r="AD116" t="str">
            <v>10 Maret 2020</v>
          </cell>
          <cell r="AE116"/>
          <cell r="AF116"/>
          <cell r="AG116"/>
          <cell r="AH116" t="str">
            <v>NEW BUILD</v>
          </cell>
          <cell r="AI116" t="str">
            <v>STIP 1</v>
          </cell>
          <cell r="AJ116" t="str">
            <v>TB</v>
          </cell>
          <cell r="AK116" t="str">
            <v>C</v>
          </cell>
          <cell r="AL116" t="str">
            <v>106.592519°</v>
          </cell>
          <cell r="AM116" t="str">
            <v xml:space="preserve"> -6.096156°</v>
          </cell>
          <cell r="AN116" t="str">
            <v>jalan santri  RT 05/05 Desa kayu agung Kec. Sepatan Kabupaten Tangerang</v>
          </cell>
          <cell r="AO116" t="str">
            <v>42m</v>
          </cell>
          <cell r="AP116" t="str">
            <v>BANTEN</v>
          </cell>
        </row>
        <row r="117">
          <cell r="A117" t="str">
            <v>JAW-BT-TNG-1462</v>
          </cell>
          <cell r="B117">
            <v>30573460031</v>
          </cell>
          <cell r="C117">
            <v>1317841003</v>
          </cell>
          <cell r="D117" t="str">
            <v>JAW-BT-TNG-1462</v>
          </cell>
          <cell r="E117" t="str">
            <v>JL CIPTO MANGUNKUSOMO SUDIMARA TIMUR</v>
          </cell>
          <cell r="F117">
            <v>43846</v>
          </cell>
          <cell r="G117" t="str">
            <v>JAN 2020</v>
          </cell>
          <cell r="H117">
            <v>342</v>
          </cell>
          <cell r="I117" t="str">
            <v>JABODETABEK (INNER)</v>
          </cell>
          <cell r="J117" t="str">
            <v>KOTA TANGERANG</v>
          </cell>
          <cell r="K117" t="str">
            <v>XL</v>
          </cell>
          <cell r="L117" t="str">
            <v>-</v>
          </cell>
          <cell r="M117"/>
          <cell r="N117"/>
          <cell r="O117"/>
          <cell r="P117"/>
          <cell r="Q117"/>
          <cell r="R117" t="str">
            <v>CTP</v>
          </cell>
          <cell r="S117" t="str">
            <v>Handri Purnama</v>
          </cell>
          <cell r="T117"/>
          <cell r="U117" t="str">
            <v>Drop by OPR</v>
          </cell>
          <cell r="V117" t="str">
            <v>Drop by OPR</v>
          </cell>
          <cell r="W117"/>
          <cell r="X117"/>
          <cell r="Y117"/>
          <cell r="Z117" t="e">
            <v>#N/A</v>
          </cell>
          <cell r="AA117" t="str">
            <v>Kand A reject warga. Rehunting kand B, BAN NY, potensi IW 80%</v>
          </cell>
          <cell r="AB117" t="str">
            <v>Drop By Opr 20 Feb 2020 by Bu Anggi</v>
          </cell>
          <cell r="AC117" t="str">
            <v>-</v>
          </cell>
          <cell r="AD117" t="str">
            <v>-</v>
          </cell>
          <cell r="AE117"/>
          <cell r="AF117"/>
          <cell r="AG117"/>
          <cell r="AH117"/>
          <cell r="AI117"/>
          <cell r="AJ117"/>
          <cell r="AK117"/>
          <cell r="AL117"/>
          <cell r="AM117"/>
          <cell r="AN117"/>
          <cell r="AO117"/>
          <cell r="AP117"/>
        </row>
        <row r="118">
          <cell r="A118" t="str">
            <v>JAW-BT-TNG-1492</v>
          </cell>
          <cell r="B118">
            <v>30571820031</v>
          </cell>
          <cell r="C118">
            <v>1317351003</v>
          </cell>
          <cell r="D118" t="str">
            <v>JAW-BT-TNG-1492</v>
          </cell>
          <cell r="E118" t="str">
            <v>Karang Timur Tangerang</v>
          </cell>
          <cell r="F118">
            <v>43844</v>
          </cell>
          <cell r="G118" t="str">
            <v>JAN 2020</v>
          </cell>
          <cell r="H118">
            <v>344</v>
          </cell>
          <cell r="I118" t="str">
            <v>JABODETABEK (INNER)</v>
          </cell>
          <cell r="J118" t="str">
            <v>KOTA TANGERANG</v>
          </cell>
          <cell r="K118" t="str">
            <v>XL</v>
          </cell>
          <cell r="L118" t="str">
            <v>-</v>
          </cell>
          <cell r="M118"/>
          <cell r="N118"/>
          <cell r="O118"/>
          <cell r="P118"/>
          <cell r="Q118"/>
          <cell r="R118" t="str">
            <v>CTP</v>
          </cell>
          <cell r="S118" t="str">
            <v>Handri Purnama</v>
          </cell>
          <cell r="T118"/>
          <cell r="U118" t="str">
            <v>RFC</v>
          </cell>
          <cell r="V118" t="str">
            <v>12. RFC</v>
          </cell>
          <cell r="W118"/>
          <cell r="X118"/>
          <cell r="Y118"/>
          <cell r="Z118" t="e">
            <v>#N/A</v>
          </cell>
          <cell r="AA118" t="str">
            <v>RFC Done</v>
          </cell>
          <cell r="AB118" t="str">
            <v>RFC Done</v>
          </cell>
          <cell r="AC118" t="str">
            <v>25 Februari 2020</v>
          </cell>
          <cell r="AD118" t="str">
            <v>11 Maret 2020</v>
          </cell>
          <cell r="AE118"/>
          <cell r="AF118"/>
          <cell r="AG118"/>
          <cell r="AH118" t="str">
            <v>B2S</v>
          </cell>
          <cell r="AI118" t="str">
            <v>STIP 1</v>
          </cell>
          <cell r="AJ118" t="str">
            <v>TB</v>
          </cell>
          <cell r="AK118" t="str">
            <v>E</v>
          </cell>
          <cell r="AL118">
            <v>106.71563999999999</v>
          </cell>
          <cell r="AM118">
            <v>-6.2211499999999997</v>
          </cell>
          <cell r="AN118" t="str">
            <v>Jl. H. Mean RT 04/10, Kel. Karang Timur, Kec. Karang Tengah, Kota Tangerang, Prov. Banten</v>
          </cell>
          <cell r="AO118" t="str">
            <v>32m</v>
          </cell>
          <cell r="AP118" t="str">
            <v>BANTEN</v>
          </cell>
        </row>
        <row r="119">
          <cell r="A119" t="str">
            <v>JAW-BT-TNG-1470</v>
          </cell>
          <cell r="B119">
            <v>30572120031</v>
          </cell>
          <cell r="C119">
            <v>1317451003</v>
          </cell>
          <cell r="D119" t="str">
            <v>JAW-BT-TNG-1470</v>
          </cell>
          <cell r="E119" t="str">
            <v>Mawi Kunciran Indah</v>
          </cell>
          <cell r="F119">
            <v>43844</v>
          </cell>
          <cell r="G119" t="str">
            <v>JAN 2020</v>
          </cell>
          <cell r="H119">
            <v>344</v>
          </cell>
          <cell r="I119" t="str">
            <v>JABODETABEK (INNER)</v>
          </cell>
          <cell r="J119" t="str">
            <v>KOTA TANGERANG</v>
          </cell>
          <cell r="K119" t="str">
            <v>XL</v>
          </cell>
          <cell r="L119" t="str">
            <v>-</v>
          </cell>
          <cell r="M119"/>
          <cell r="N119"/>
          <cell r="O119"/>
          <cell r="P119"/>
          <cell r="Q119"/>
          <cell r="R119" t="str">
            <v>CTP</v>
          </cell>
          <cell r="S119" t="str">
            <v>Handri Purnama</v>
          </cell>
          <cell r="T119"/>
          <cell r="U119" t="str">
            <v>RFC</v>
          </cell>
          <cell r="V119" t="str">
            <v>12. RFC</v>
          </cell>
          <cell r="W119"/>
          <cell r="X119"/>
          <cell r="Y119"/>
          <cell r="Z119" t="e">
            <v>#N/A</v>
          </cell>
          <cell r="AA119" t="str">
            <v>RFC Done</v>
          </cell>
          <cell r="AB119" t="str">
            <v>RFC Done</v>
          </cell>
          <cell r="AC119" t="str">
            <v>25 Februari 2020</v>
          </cell>
          <cell r="AD119" t="str">
            <v>11 Maret 2020</v>
          </cell>
          <cell r="AE119"/>
          <cell r="AF119"/>
          <cell r="AG119"/>
          <cell r="AH119" t="str">
            <v>MCP</v>
          </cell>
          <cell r="AI119" t="str">
            <v>STIP 1</v>
          </cell>
          <cell r="AJ119" t="str">
            <v>TB</v>
          </cell>
          <cell r="AK119" t="str">
            <v>B</v>
          </cell>
          <cell r="AL119">
            <v>106.68171700000001</v>
          </cell>
          <cell r="AM119">
            <v>-6.2284059999999997</v>
          </cell>
          <cell r="AN119" t="str">
            <v>Jl. Gang H. Mawi RT. 05 RW. 15 Kel. Kunciran Indah Kec. Pinang</v>
          </cell>
          <cell r="AO119" t="str">
            <v>20 m</v>
          </cell>
          <cell r="AP119" t="str">
            <v>BANTEN</v>
          </cell>
        </row>
        <row r="120">
          <cell r="A120" t="str">
            <v>ZBGR_4269</v>
          </cell>
          <cell r="B120">
            <v>230560280231</v>
          </cell>
          <cell r="C120">
            <v>1260541023</v>
          </cell>
          <cell r="D120" t="str">
            <v>BOG0033</v>
          </cell>
          <cell r="E120" t="str">
            <v>SUKARAJA BOGOR</v>
          </cell>
          <cell r="F120">
            <v>43829</v>
          </cell>
          <cell r="G120" t="str">
            <v>DES 2019</v>
          </cell>
          <cell r="H120">
            <v>359</v>
          </cell>
          <cell r="I120" t="str">
            <v>JABODETABEK (OUTER)</v>
          </cell>
          <cell r="J120" t="str">
            <v>BOGOR</v>
          </cell>
          <cell r="K120" t="str">
            <v>SMARTFREN</v>
          </cell>
          <cell r="L120" t="str">
            <v>-</v>
          </cell>
          <cell r="M120"/>
          <cell r="N120"/>
          <cell r="O120"/>
          <cell r="P120"/>
          <cell r="Q120"/>
          <cell r="R120" t="str">
            <v>GNJ</v>
          </cell>
          <cell r="S120" t="str">
            <v>Handri Purnama</v>
          </cell>
          <cell r="T120"/>
          <cell r="U120" t="str">
            <v>PRE SITAC</v>
          </cell>
          <cell r="V120" t="str">
            <v>03. Review RNP</v>
          </cell>
          <cell r="W120"/>
          <cell r="X120" t="str">
            <v>W4 Mart</v>
          </cell>
          <cell r="Y120"/>
          <cell r="Z120" t="e">
            <v>#N/A</v>
          </cell>
          <cell r="AA120" t="str">
            <v>Vaidasi Kand A</v>
          </cell>
          <cell r="AB120" t="str">
            <v>Submit Validasi Kand B</v>
          </cell>
          <cell r="AC120"/>
          <cell r="AD120"/>
          <cell r="AE120"/>
          <cell r="AF120"/>
          <cell r="AG120"/>
          <cell r="AH120"/>
          <cell r="AI120"/>
          <cell r="AJ120"/>
          <cell r="AK120"/>
          <cell r="AL120"/>
          <cell r="AM120"/>
          <cell r="AN120"/>
          <cell r="AO120"/>
          <cell r="AP120"/>
        </row>
        <row r="121">
          <cell r="A121" t="str">
            <v>ZJKT2_5966</v>
          </cell>
          <cell r="B121">
            <v>230579580231</v>
          </cell>
          <cell r="C121">
            <v>1317931023</v>
          </cell>
          <cell r="D121" t="str">
            <v>ZJKT2_5966</v>
          </cell>
          <cell r="E121" t="str">
            <v>BOJONG NANGKA KELAPA DUA</v>
          </cell>
          <cell r="F121">
            <v>43871</v>
          </cell>
          <cell r="G121" t="str">
            <v>FEB 2020</v>
          </cell>
          <cell r="H121">
            <v>317</v>
          </cell>
          <cell r="I121" t="str">
            <v>JABODETABEK (OUTER)</v>
          </cell>
          <cell r="J121" t="str">
            <v>TANGERANG</v>
          </cell>
          <cell r="K121" t="str">
            <v>SMARTFREN</v>
          </cell>
          <cell r="L121" t="str">
            <v>-</v>
          </cell>
          <cell r="M121"/>
          <cell r="N121"/>
          <cell r="O121"/>
          <cell r="P121"/>
          <cell r="Q121"/>
          <cell r="R121" t="str">
            <v>MIT</v>
          </cell>
          <cell r="S121" t="str">
            <v>Handri Purnama</v>
          </cell>
          <cell r="T121"/>
          <cell r="U121" t="str">
            <v>SITAC</v>
          </cell>
          <cell r="V121" t="str">
            <v>05. BAN/BAK</v>
          </cell>
          <cell r="W121"/>
          <cell r="X121"/>
          <cell r="Y121"/>
          <cell r="Z121" t="e">
            <v>#N/A</v>
          </cell>
          <cell r="AA121" t="str">
            <v>Validasi kand A dan B OK, BAN 24jt, potensi IW clear</v>
          </cell>
          <cell r="AB121" t="str">
            <v>Cek Kand yg dipakai Finalisasi BAN, dan penyusunan eskalasi</v>
          </cell>
          <cell r="AC121" t="str">
            <v>21 Februari 2020</v>
          </cell>
          <cell r="AD121" t="str">
            <v>9 Maret 2020</v>
          </cell>
          <cell r="AE121"/>
          <cell r="AF121"/>
          <cell r="AG121"/>
          <cell r="AH121" t="str">
            <v>NEW BUILD</v>
          </cell>
          <cell r="AI121" t="str">
            <v>STIP 1</v>
          </cell>
          <cell r="AJ121" t="str">
            <v>TB</v>
          </cell>
          <cell r="AK121" t="str">
            <v>B</v>
          </cell>
          <cell r="AL121">
            <v>106.59702</v>
          </cell>
          <cell r="AM121">
            <v>-6.2671919999999997</v>
          </cell>
          <cell r="AN121" t="str">
            <v>Kp Carang Pulang RT. 02 RW. 01 Kel. Bojong Nangka Kec. Kelapa Dua, Kab. Tangerang</v>
          </cell>
          <cell r="AO121" t="str">
            <v>42 m</v>
          </cell>
          <cell r="AP121" t="str">
            <v>BANTEN</v>
          </cell>
        </row>
        <row r="122">
          <cell r="A122" t="str">
            <v>ZJKT2_4306</v>
          </cell>
          <cell r="B122">
            <v>230560320231</v>
          </cell>
          <cell r="C122">
            <v>1260551023</v>
          </cell>
          <cell r="D122" t="str">
            <v>JAK0746</v>
          </cell>
          <cell r="E122" t="str">
            <v>BEJIDEPOK</v>
          </cell>
          <cell r="F122">
            <v>43829</v>
          </cell>
          <cell r="G122" t="str">
            <v>DES 2019</v>
          </cell>
          <cell r="H122">
            <v>359</v>
          </cell>
          <cell r="I122" t="str">
            <v>JABODETABEK (INNER)</v>
          </cell>
          <cell r="J122" t="str">
            <v>KOTA DEPOK</v>
          </cell>
          <cell r="K122" t="str">
            <v>SMARTFREN</v>
          </cell>
          <cell r="L122" t="str">
            <v>-</v>
          </cell>
          <cell r="M122"/>
          <cell r="N122"/>
          <cell r="O122"/>
          <cell r="P122"/>
          <cell r="Q122"/>
          <cell r="R122" t="str">
            <v>LBL</v>
          </cell>
          <cell r="S122" t="str">
            <v>Handri Purnama</v>
          </cell>
          <cell r="T122"/>
          <cell r="U122" t="str">
            <v>SITAC</v>
          </cell>
          <cell r="V122" t="str">
            <v>05. BAN/BAK</v>
          </cell>
          <cell r="W122"/>
          <cell r="X122"/>
          <cell r="Y122"/>
          <cell r="Z122" t="e">
            <v>#N/A</v>
          </cell>
          <cell r="AA122" t="str">
            <v>High price BAN kandidat A 30jt (Gamal)</v>
          </cell>
          <cell r="AB122" t="str">
            <v>Paralel Rehunting
Nego ulang BAN, paralel submit kandidat B dan C with JR 24 Feb 2020</v>
          </cell>
          <cell r="AC122" t="str">
            <v>-</v>
          </cell>
          <cell r="AD122" t="str">
            <v>-</v>
          </cell>
          <cell r="AE122"/>
          <cell r="AF122"/>
          <cell r="AG122"/>
          <cell r="AH122"/>
          <cell r="AI122"/>
          <cell r="AJ122"/>
          <cell r="AK122"/>
          <cell r="AL122"/>
          <cell r="AM122"/>
          <cell r="AN122"/>
          <cell r="AO122"/>
          <cell r="AP122"/>
        </row>
        <row r="123">
          <cell r="A123"/>
          <cell r="B123">
            <v>230579370231</v>
          </cell>
          <cell r="C123">
            <v>1317901023</v>
          </cell>
          <cell r="D123" t="str">
            <v>ZJKT2_6083</v>
          </cell>
          <cell r="E123" t="str">
            <v>KUTA JAYA PASARKEMIS</v>
          </cell>
          <cell r="F123">
            <v>43871</v>
          </cell>
          <cell r="G123" t="str">
            <v>FEB 2020</v>
          </cell>
          <cell r="H123">
            <v>317</v>
          </cell>
          <cell r="I123" t="str">
            <v>JABODETABEK (OUTER)</v>
          </cell>
          <cell r="J123" t="str">
            <v>TANGERANG</v>
          </cell>
          <cell r="K123" t="str">
            <v>SMARTFREN</v>
          </cell>
          <cell r="L123" t="str">
            <v>-</v>
          </cell>
          <cell r="M123"/>
          <cell r="N123"/>
          <cell r="O123"/>
          <cell r="P123"/>
          <cell r="Q123"/>
          <cell r="R123" t="str">
            <v>MIT</v>
          </cell>
          <cell r="S123" t="str">
            <v>Handri Purnama</v>
          </cell>
          <cell r="T123"/>
          <cell r="U123" t="str">
            <v>SITAC</v>
          </cell>
          <cell r="V123" t="str">
            <v>05. BAN/BAK</v>
          </cell>
          <cell r="W123"/>
          <cell r="X123"/>
          <cell r="Y123"/>
          <cell r="Z123" t="e">
            <v>#N/A</v>
          </cell>
          <cell r="AA123" t="str">
            <v>Validasi kand A OK, BAN 30jt, potensi IW clear</v>
          </cell>
          <cell r="AB123" t="str">
            <v>Finalisasi BAN, dan penyusunan eskalasi</v>
          </cell>
          <cell r="AC123" t="str">
            <v>24 Februari 2020</v>
          </cell>
          <cell r="AD123" t="str">
            <v>9 Maret 2020</v>
          </cell>
          <cell r="AE123"/>
          <cell r="AF123"/>
          <cell r="AG123"/>
          <cell r="AH123"/>
          <cell r="AI123"/>
          <cell r="AJ123"/>
          <cell r="AK123"/>
          <cell r="AL123"/>
          <cell r="AM123"/>
          <cell r="AN123"/>
          <cell r="AO123"/>
          <cell r="AP123"/>
        </row>
        <row r="124">
          <cell r="A124" t="str">
            <v>ZJKT2_4241</v>
          </cell>
          <cell r="B124">
            <v>230579340231</v>
          </cell>
          <cell r="C124">
            <v>1317891023</v>
          </cell>
          <cell r="D124" t="str">
            <v>ZJKT2_4241</v>
          </cell>
          <cell r="E124" t="str">
            <v>PASANGGRAHAN SOLEAR</v>
          </cell>
          <cell r="F124">
            <v>43871</v>
          </cell>
          <cell r="G124" t="str">
            <v>FEB 2020</v>
          </cell>
          <cell r="H124">
            <v>317</v>
          </cell>
          <cell r="I124" t="str">
            <v>JABODETABEK (OUTER)</v>
          </cell>
          <cell r="J124" t="str">
            <v>TANGERANG</v>
          </cell>
          <cell r="K124" t="str">
            <v>SMARTFREN</v>
          </cell>
          <cell r="L124" t="str">
            <v>-</v>
          </cell>
          <cell r="M124"/>
          <cell r="N124"/>
          <cell r="O124"/>
          <cell r="P124"/>
          <cell r="Q124"/>
          <cell r="R124" t="str">
            <v>MIT</v>
          </cell>
          <cell r="S124" t="str">
            <v>Handri Purnama</v>
          </cell>
          <cell r="T124"/>
          <cell r="U124" t="str">
            <v>SITAC</v>
          </cell>
          <cell r="V124" t="str">
            <v>05. BAN/BAK</v>
          </cell>
          <cell r="W124"/>
          <cell r="X124"/>
          <cell r="Y124"/>
          <cell r="Z124" t="e">
            <v>#N/A</v>
          </cell>
          <cell r="AA124" t="str">
            <v>Validasi kand A OK, BAN &gt;20jt, IW clear</v>
          </cell>
          <cell r="AB124" t="str">
            <v>Submit eskalasi ke pak hafidz</v>
          </cell>
          <cell r="AC124" t="str">
            <v>24 Februari 2020</v>
          </cell>
          <cell r="AD124" t="str">
            <v>9 Maret 2020</v>
          </cell>
          <cell r="AE124"/>
          <cell r="AF124"/>
          <cell r="AG124"/>
          <cell r="AH124" t="str">
            <v>NEW BUILD</v>
          </cell>
          <cell r="AI124" t="str">
            <v>STIP 1</v>
          </cell>
          <cell r="AJ124" t="str">
            <v>TB</v>
          </cell>
          <cell r="AK124" t="str">
            <v>A</v>
          </cell>
          <cell r="AL124">
            <v>106.42242</v>
          </cell>
          <cell r="AM124">
            <v>-6.290222</v>
          </cell>
          <cell r="AN124" t="str">
            <v>Kp. Ciparanje RT. 02 RW. 02 Desa Pesangrahan Kec. Solear</v>
          </cell>
          <cell r="AO124" t="str">
            <v>42 m</v>
          </cell>
          <cell r="AP124" t="str">
            <v>BANTEN</v>
          </cell>
        </row>
        <row r="125">
          <cell r="A125" t="str">
            <v>ZJKT2_5971</v>
          </cell>
          <cell r="B125">
            <v>230579570231</v>
          </cell>
          <cell r="C125">
            <v>1317921023</v>
          </cell>
          <cell r="D125" t="str">
            <v>ZJKT2_5971</v>
          </cell>
          <cell r="E125" t="str">
            <v>PEMATANG TIGARAKSA</v>
          </cell>
          <cell r="F125">
            <v>43871</v>
          </cell>
          <cell r="G125" t="str">
            <v>FEB 2020</v>
          </cell>
          <cell r="H125">
            <v>317</v>
          </cell>
          <cell r="I125" t="str">
            <v>JABODETABEK (OUTER)</v>
          </cell>
          <cell r="J125" t="str">
            <v>TANGERANG</v>
          </cell>
          <cell r="K125" t="str">
            <v>SMARTFREN</v>
          </cell>
          <cell r="L125" t="str">
            <v>-</v>
          </cell>
          <cell r="M125"/>
          <cell r="N125"/>
          <cell r="O125"/>
          <cell r="P125"/>
          <cell r="Q125"/>
          <cell r="R125" t="str">
            <v>MIT</v>
          </cell>
          <cell r="S125" t="str">
            <v>Handri Purnama</v>
          </cell>
          <cell r="T125"/>
          <cell r="U125" t="str">
            <v>SITAC</v>
          </cell>
          <cell r="V125" t="str">
            <v>05. BAN/BAK</v>
          </cell>
          <cell r="W125"/>
          <cell r="X125"/>
          <cell r="Y125"/>
          <cell r="Z125" t="e">
            <v>#N/A</v>
          </cell>
          <cell r="AA125" t="str">
            <v>Validasi kand A OK, BAN &gt;20jt, potensi IW 95%</v>
          </cell>
          <cell r="AB125" t="str">
            <v>Makesure BAN mjd 15jt, penyusunan eskalasi</v>
          </cell>
          <cell r="AC125" t="str">
            <v>24 Februari 2020</v>
          </cell>
          <cell r="AD125" t="str">
            <v>9 Maret 2020</v>
          </cell>
          <cell r="AE125"/>
          <cell r="AF125"/>
          <cell r="AG125"/>
          <cell r="AH125" t="str">
            <v>NEW BUILD</v>
          </cell>
          <cell r="AI125" t="str">
            <v>STIP 1</v>
          </cell>
          <cell r="AJ125" t="str">
            <v>TB</v>
          </cell>
          <cell r="AK125" t="str">
            <v>A</v>
          </cell>
          <cell r="AL125" t="str">
            <v>106.45417</v>
          </cell>
          <cell r="AM125" t="str">
            <v>-6.24075</v>
          </cell>
          <cell r="AN125" t="str">
            <v>Kp. Sikluk RT. 02 RW. 01 Kel. Pematang Kec. Tigaraksa Kab. Tangerang</v>
          </cell>
          <cell r="AO125" t="str">
            <v>42 m</v>
          </cell>
          <cell r="AP125" t="str">
            <v>BANTEN</v>
          </cell>
        </row>
        <row r="126">
          <cell r="A126" t="str">
            <v>ZJKT2_6101</v>
          </cell>
          <cell r="B126">
            <v>230580660231</v>
          </cell>
          <cell r="C126">
            <v>1317961023</v>
          </cell>
          <cell r="D126" t="str">
            <v>ZJKT2_6101</v>
          </cell>
          <cell r="E126" t="str">
            <v>SOLEAR BANTEN</v>
          </cell>
          <cell r="F126">
            <v>43872</v>
          </cell>
          <cell r="G126" t="str">
            <v>FEB 2020</v>
          </cell>
          <cell r="H126">
            <v>316</v>
          </cell>
          <cell r="I126" t="str">
            <v>JABODETABEK (OUTER)</v>
          </cell>
          <cell r="J126" t="str">
            <v>TANGERANG</v>
          </cell>
          <cell r="K126" t="str">
            <v>SMARTFREN</v>
          </cell>
          <cell r="L126" t="str">
            <v>-</v>
          </cell>
          <cell r="M126"/>
          <cell r="N126"/>
          <cell r="O126"/>
          <cell r="P126"/>
          <cell r="Q126"/>
          <cell r="R126" t="str">
            <v>MIT</v>
          </cell>
          <cell r="S126" t="str">
            <v>Handri Purnama</v>
          </cell>
          <cell r="T126"/>
          <cell r="U126" t="str">
            <v>SITAC</v>
          </cell>
          <cell r="V126" t="str">
            <v>05. BAN/BAK</v>
          </cell>
          <cell r="W126"/>
          <cell r="X126"/>
          <cell r="Y126"/>
          <cell r="Z126" t="e">
            <v>#N/A</v>
          </cell>
          <cell r="AA126" t="str">
            <v>Validasi kand A OK, BAN &gt;20jt, potensi IW clear</v>
          </cell>
          <cell r="AB126" t="str">
            <v>Makesure BAN mjd 15jt, penyusunan eskalasi</v>
          </cell>
          <cell r="AC126" t="str">
            <v>24 Februari 2020</v>
          </cell>
          <cell r="AD126" t="str">
            <v>9 Maret 2020</v>
          </cell>
          <cell r="AE126"/>
          <cell r="AF126"/>
          <cell r="AG126"/>
          <cell r="AH126" t="str">
            <v>NEW BUILD</v>
          </cell>
          <cell r="AI126" t="str">
            <v>STIP 1</v>
          </cell>
          <cell r="AJ126" t="str">
            <v>TB</v>
          </cell>
          <cell r="AK126" t="str">
            <v>A</v>
          </cell>
          <cell r="AL126" t="str">
            <v>106.43283</v>
          </cell>
          <cell r="AM126" t="str">
            <v>-6.285556</v>
          </cell>
          <cell r="AN126" t="str">
            <v>Kp. Bojong RT. 01 RW. 06 Kel. Pasanggrahan Kec. Solear, Kab. Tangerang</v>
          </cell>
          <cell r="AO126" t="str">
            <v>42 m</v>
          </cell>
          <cell r="AP126" t="str">
            <v>BANTEN</v>
          </cell>
        </row>
        <row r="127">
          <cell r="A127" t="str">
            <v>ZJKT2_6092</v>
          </cell>
          <cell r="B127">
            <v>230580690231</v>
          </cell>
          <cell r="C127">
            <v>1317971023</v>
          </cell>
          <cell r="D127" t="str">
            <v>ZJKT2_6092</v>
          </cell>
          <cell r="E127" t="str">
            <v>SUMUR BANDUNG JAYANTI</v>
          </cell>
          <cell r="F127">
            <v>43872</v>
          </cell>
          <cell r="G127" t="str">
            <v>FEB 2020</v>
          </cell>
          <cell r="H127">
            <v>316</v>
          </cell>
          <cell r="I127" t="str">
            <v>JABODETABEK (OUTER)</v>
          </cell>
          <cell r="J127" t="str">
            <v>TANGERANG</v>
          </cell>
          <cell r="K127" t="str">
            <v>SMARTFREN</v>
          </cell>
          <cell r="L127" t="str">
            <v>-</v>
          </cell>
          <cell r="M127"/>
          <cell r="N127"/>
          <cell r="O127"/>
          <cell r="P127"/>
          <cell r="Q127"/>
          <cell r="R127" t="str">
            <v>MIT</v>
          </cell>
          <cell r="S127" t="str">
            <v>Handri Purnama</v>
          </cell>
          <cell r="T127"/>
          <cell r="U127" t="str">
            <v>SITAC</v>
          </cell>
          <cell r="V127" t="str">
            <v>05. BAN/BAK</v>
          </cell>
          <cell r="W127"/>
          <cell r="X127"/>
          <cell r="Y127"/>
          <cell r="Z127" t="e">
            <v>#N/A</v>
          </cell>
          <cell r="AA127" t="str">
            <v>Validasi kand A OK, BAN dan IW NY</v>
          </cell>
          <cell r="AB127" t="str">
            <v>Makesure BAN dan IW, paralel submit kand B 25/02</v>
          </cell>
          <cell r="AC127" t="str">
            <v>-</v>
          </cell>
          <cell r="AD127" t="str">
            <v>-</v>
          </cell>
          <cell r="AE127"/>
          <cell r="AF127"/>
          <cell r="AG127"/>
          <cell r="AH127" t="str">
            <v>NEW BUILD</v>
          </cell>
          <cell r="AI127" t="str">
            <v>STIP 1</v>
          </cell>
          <cell r="AJ127" t="str">
            <v>TB</v>
          </cell>
          <cell r="AK127" t="str">
            <v>B</v>
          </cell>
          <cell r="AL127" t="str">
            <v>106.40324</v>
          </cell>
          <cell r="AM127" t="str">
            <v>-6.20863</v>
          </cell>
          <cell r="AN127" t="str">
            <v>Kp. Sumur Bandung RT. 02 RW. 01 Kel. Sumur bandung Kec. Jayaanti, Kab. Tangerang</v>
          </cell>
          <cell r="AO127" t="str">
            <v>42 m</v>
          </cell>
          <cell r="AP127" t="str">
            <v>BANTEN</v>
          </cell>
        </row>
        <row r="128">
          <cell r="A128" t="str">
            <v>ZJKT2_6087</v>
          </cell>
          <cell r="B128">
            <v>230580710231</v>
          </cell>
          <cell r="C128">
            <v>1317981023</v>
          </cell>
          <cell r="D128" t="str">
            <v>ZJKT2_6087</v>
          </cell>
          <cell r="E128" t="str">
            <v>WANA KERTA SINDANG JAYA</v>
          </cell>
          <cell r="F128">
            <v>43872</v>
          </cell>
          <cell r="G128" t="str">
            <v>FEB 2020</v>
          </cell>
          <cell r="H128">
            <v>316</v>
          </cell>
          <cell r="I128" t="str">
            <v>JABODETABEK (OUTER)</v>
          </cell>
          <cell r="J128" t="str">
            <v>TANGERANG</v>
          </cell>
          <cell r="K128" t="str">
            <v>SMARTFREN</v>
          </cell>
          <cell r="L128" t="str">
            <v>-</v>
          </cell>
          <cell r="M128"/>
          <cell r="N128"/>
          <cell r="O128"/>
          <cell r="P128"/>
          <cell r="Q128"/>
          <cell r="R128" t="str">
            <v>MIT</v>
          </cell>
          <cell r="S128" t="str">
            <v>Handri Purnama</v>
          </cell>
          <cell r="T128"/>
          <cell r="U128" t="str">
            <v>SITAC</v>
          </cell>
          <cell r="V128" t="str">
            <v>05. BAN/BAK</v>
          </cell>
          <cell r="W128"/>
          <cell r="X128"/>
          <cell r="Y128"/>
          <cell r="Z128" t="e">
            <v>#N/A</v>
          </cell>
          <cell r="AA128" t="str">
            <v>Validasi kand A OK, BAN dan IW NY</v>
          </cell>
          <cell r="AB128" t="str">
            <v>Makesure BAN dan IW, paralel submit kand B 25/02</v>
          </cell>
          <cell r="AC128" t="str">
            <v>-</v>
          </cell>
          <cell r="AD128" t="str">
            <v>-</v>
          </cell>
          <cell r="AE128"/>
          <cell r="AF128"/>
          <cell r="AG128"/>
          <cell r="AH128" t="str">
            <v>NEW BUILD</v>
          </cell>
          <cell r="AI128" t="str">
            <v>STIP 1</v>
          </cell>
          <cell r="AJ128" t="str">
            <v>TB</v>
          </cell>
          <cell r="AK128" t="str">
            <v>B</v>
          </cell>
          <cell r="AL128" t="str">
            <v>106.50744</v>
          </cell>
          <cell r="AM128" t="str">
            <v>-6.19599</v>
          </cell>
          <cell r="AN128" t="str">
            <v>Kampung kawaron girang,rt 01/rw 04,desa wanakerta,kec sindang jaya, tangerang</v>
          </cell>
          <cell r="AO128" t="str">
            <v>42 m</v>
          </cell>
          <cell r="AP128" t="str">
            <v>BANTEN</v>
          </cell>
        </row>
        <row r="129">
          <cell r="A129" t="str">
            <v>ZJKT2_4174</v>
          </cell>
          <cell r="B129">
            <v>230560260231</v>
          </cell>
          <cell r="C129">
            <v>1260521023</v>
          </cell>
          <cell r="D129" t="str">
            <v>JAK0155</v>
          </cell>
          <cell r="E129" t="str">
            <v>BEKASI UTARA 1</v>
          </cell>
          <cell r="F129">
            <v>43829</v>
          </cell>
          <cell r="G129" t="str">
            <v>DES 2019</v>
          </cell>
          <cell r="H129">
            <v>359</v>
          </cell>
          <cell r="I129" t="str">
            <v>JABODETABEK (OUTER)</v>
          </cell>
          <cell r="J129" t="str">
            <v>KOTA BEKASI</v>
          </cell>
          <cell r="K129" t="str">
            <v>SMARTFREN</v>
          </cell>
          <cell r="L129" t="str">
            <v>-</v>
          </cell>
          <cell r="M129"/>
          <cell r="N129"/>
          <cell r="O129"/>
          <cell r="P129"/>
          <cell r="Q129"/>
          <cell r="R129" t="str">
            <v>LBL / SS</v>
          </cell>
          <cell r="S129" t="str">
            <v>Handri Purnama</v>
          </cell>
          <cell r="T129"/>
          <cell r="U129" t="str">
            <v>SITAC</v>
          </cell>
          <cell r="V129" t="str">
            <v>05. BAN/BAK</v>
          </cell>
          <cell r="W129"/>
          <cell r="X129"/>
          <cell r="Y129"/>
          <cell r="Z129" t="e">
            <v>#N/A</v>
          </cell>
          <cell r="AA129" t="str">
            <v>Kand B fail masa sewa, FU BAN dan IW kand C (Masjid)</v>
          </cell>
          <cell r="AB129" t="str">
            <v>FU BAN dan IW kand C 20 Feb 2020</v>
          </cell>
          <cell r="AC129" t="str">
            <v>-</v>
          </cell>
          <cell r="AD129" t="str">
            <v>-</v>
          </cell>
          <cell r="AE129"/>
          <cell r="AF129"/>
          <cell r="AG129"/>
          <cell r="AH129"/>
          <cell r="AI129"/>
          <cell r="AJ129"/>
          <cell r="AK129"/>
          <cell r="AL129"/>
          <cell r="AM129"/>
          <cell r="AN129"/>
          <cell r="AO129"/>
          <cell r="AP129"/>
        </row>
        <row r="130">
          <cell r="A130" t="str">
            <v>JAW-BT-TGR-0042</v>
          </cell>
          <cell r="B130">
            <v>30572520031</v>
          </cell>
          <cell r="C130">
            <v>1317711003</v>
          </cell>
          <cell r="D130" t="str">
            <v>JAW-BT-TGR-0042</v>
          </cell>
          <cell r="E130" t="str">
            <v>BABAKAN ASEM TELUK NAGA</v>
          </cell>
          <cell r="F130">
            <v>43844</v>
          </cell>
          <cell r="G130" t="str">
            <v>JAN 2020</v>
          </cell>
          <cell r="H130">
            <v>344</v>
          </cell>
          <cell r="I130" t="str">
            <v>JABODETABEK (OUTER)</v>
          </cell>
          <cell r="J130" t="str">
            <v>TANGERANG</v>
          </cell>
          <cell r="K130" t="str">
            <v>XL</v>
          </cell>
          <cell r="L130" t="str">
            <v>-</v>
          </cell>
          <cell r="M130"/>
          <cell r="N130"/>
          <cell r="O130"/>
          <cell r="P130"/>
          <cell r="Q130"/>
          <cell r="R130" t="str">
            <v>MKI</v>
          </cell>
          <cell r="S130" t="str">
            <v>Aditya Rachaman</v>
          </cell>
          <cell r="T130"/>
          <cell r="U130" t="str">
            <v>RFC</v>
          </cell>
          <cell r="V130" t="str">
            <v>12. RFC</v>
          </cell>
          <cell r="W130"/>
          <cell r="X130"/>
          <cell r="Y130"/>
          <cell r="Z130" t="e">
            <v>#N/A</v>
          </cell>
          <cell r="AA130" t="str">
            <v>RFC Done</v>
          </cell>
          <cell r="AB130" t="str">
            <v>RFC Done</v>
          </cell>
          <cell r="AC130" t="str">
            <v>21 Februari 2020</v>
          </cell>
          <cell r="AD130" t="str">
            <v>9 Maret 2020</v>
          </cell>
          <cell r="AE130"/>
          <cell r="AF130"/>
          <cell r="AG130"/>
          <cell r="AH130" t="str">
            <v>NEW BUILD</v>
          </cell>
          <cell r="AI130" t="str">
            <v>STIP 1</v>
          </cell>
          <cell r="AJ130" t="str">
            <v>TB</v>
          </cell>
          <cell r="AK130" t="str">
            <v>A</v>
          </cell>
          <cell r="AL130" t="str">
            <v>106.66314</v>
          </cell>
          <cell r="AM130" t="str">
            <v>-6.08597</v>
          </cell>
          <cell r="AN130" t="str">
            <v>Kp Rawa Rotan RT 02 RW 04 Desa Babakan asem Kec. Teluk Naga, Kab. Tangerang</v>
          </cell>
          <cell r="AO130" t="str">
            <v>42 m</v>
          </cell>
          <cell r="AP130" t="str">
            <v>BANTEN</v>
          </cell>
        </row>
        <row r="131">
          <cell r="A131" t="str">
            <v>JAW-BT-TGR-0045</v>
          </cell>
          <cell r="B131">
            <v>30572550031</v>
          </cell>
          <cell r="C131">
            <v>1317741003</v>
          </cell>
          <cell r="D131" t="str">
            <v>JAW-BT-TGR-0045</v>
          </cell>
          <cell r="E131" t="str">
            <v>KAMPUNG BESAR TELUK NAGA</v>
          </cell>
          <cell r="F131">
            <v>43844</v>
          </cell>
          <cell r="G131" t="str">
            <v>JAN 2020</v>
          </cell>
          <cell r="H131">
            <v>344</v>
          </cell>
          <cell r="I131" t="str">
            <v>JABODETABEK (OUTER)</v>
          </cell>
          <cell r="J131" t="str">
            <v>TANGERANG</v>
          </cell>
          <cell r="K131" t="str">
            <v>XL</v>
          </cell>
          <cell r="L131" t="str">
            <v>-</v>
          </cell>
          <cell r="M131"/>
          <cell r="N131"/>
          <cell r="O131"/>
          <cell r="P131"/>
          <cell r="Q131"/>
          <cell r="R131" t="str">
            <v>MKI</v>
          </cell>
          <cell r="S131" t="str">
            <v>Aditya Rachaman</v>
          </cell>
          <cell r="T131"/>
          <cell r="U131" t="str">
            <v>RFC</v>
          </cell>
          <cell r="V131" t="str">
            <v>12. RFC</v>
          </cell>
          <cell r="W131"/>
          <cell r="X131"/>
          <cell r="Y131"/>
          <cell r="Z131" t="e">
            <v>#N/A</v>
          </cell>
          <cell r="AA131" t="str">
            <v>RFC Done</v>
          </cell>
          <cell r="AB131" t="str">
            <v>RFC Done</v>
          </cell>
          <cell r="AC131" t="str">
            <v>25 Februari 2020</v>
          </cell>
          <cell r="AD131" t="str">
            <v>13 Maret 2020</v>
          </cell>
          <cell r="AE131"/>
          <cell r="AF131"/>
          <cell r="AG131"/>
          <cell r="AH131" t="str">
            <v>NEW BUILD</v>
          </cell>
          <cell r="AI131" t="str">
            <v>STIP 1</v>
          </cell>
          <cell r="AJ131" t="str">
            <v>TB</v>
          </cell>
          <cell r="AK131" t="str">
            <v>C</v>
          </cell>
          <cell r="AL131">
            <v>106.654625</v>
          </cell>
          <cell r="AM131">
            <v>-6.0623579999999997</v>
          </cell>
          <cell r="AN131" t="str">
            <v>Kp Kampung Besar RT. 12 RW. 06 Kel. Kampung Besar Kec. Teluk Naga, Kab. Tangerang</v>
          </cell>
          <cell r="AO131" t="str">
            <v>52 m</v>
          </cell>
          <cell r="AP131" t="str">
            <v>BANTEN</v>
          </cell>
        </row>
        <row r="132">
          <cell r="A132" t="str">
            <v>ZJKT2_4285</v>
          </cell>
          <cell r="B132">
            <v>230560290231</v>
          </cell>
          <cell r="C132">
            <v>1317281023</v>
          </cell>
          <cell r="D132" t="str">
            <v>JAK0218</v>
          </cell>
          <cell r="E132" t="str">
            <v>CIPONDOH KOTA TANGERANG</v>
          </cell>
          <cell r="F132">
            <v>43829</v>
          </cell>
          <cell r="G132" t="str">
            <v>DES 2019</v>
          </cell>
          <cell r="H132">
            <v>359</v>
          </cell>
          <cell r="I132" t="str">
            <v>JABODETABEK (INNER)</v>
          </cell>
          <cell r="J132" t="str">
            <v>KOTA TANGERANG</v>
          </cell>
          <cell r="K132" t="str">
            <v>SMARTFREN</v>
          </cell>
          <cell r="L132" t="str">
            <v>-</v>
          </cell>
          <cell r="M132"/>
          <cell r="N132"/>
          <cell r="O132"/>
          <cell r="P132"/>
          <cell r="Q132"/>
          <cell r="R132" t="str">
            <v>MIT</v>
          </cell>
          <cell r="S132" t="str">
            <v>Handri Purnama</v>
          </cell>
          <cell r="T132"/>
          <cell r="U132" t="str">
            <v>SITAC</v>
          </cell>
          <cell r="V132" t="str">
            <v>05. BAN/BAK</v>
          </cell>
          <cell r="W132"/>
          <cell r="X132"/>
          <cell r="Y132"/>
          <cell r="Z132" t="e">
            <v>#N/A</v>
          </cell>
          <cell r="AA132" t="str">
            <v>Kand B OK (outcell), BAN 35jt, potensi IW clear</v>
          </cell>
          <cell r="AB132" t="str">
            <v>Nego ulang BAN mjd 18jt, penyusunan eskalasi, validasi ulang mjd 20m</v>
          </cell>
          <cell r="AC132" t="str">
            <v>24 Februari 2020</v>
          </cell>
          <cell r="AD132" t="str">
            <v>9 Maret 2020</v>
          </cell>
          <cell r="AE132"/>
          <cell r="AF132"/>
          <cell r="AG132"/>
          <cell r="AH132"/>
          <cell r="AI132"/>
          <cell r="AJ132"/>
          <cell r="AK132"/>
          <cell r="AL132"/>
          <cell r="AM132"/>
          <cell r="AN132"/>
          <cell r="AO132"/>
          <cell r="AP132"/>
        </row>
        <row r="133">
          <cell r="A133" t="str">
            <v>ZJKT2_4350</v>
          </cell>
          <cell r="B133">
            <v>230560330231</v>
          </cell>
          <cell r="C133">
            <v>1317311023</v>
          </cell>
          <cell r="D133" t="str">
            <v>Jabo_Outer_add_030</v>
          </cell>
          <cell r="E133" t="str">
            <v>KARANG TENGAH KOTA TANGERANG</v>
          </cell>
          <cell r="F133">
            <v>43829</v>
          </cell>
          <cell r="G133" t="str">
            <v>DES 2019</v>
          </cell>
          <cell r="H133">
            <v>359</v>
          </cell>
          <cell r="I133" t="str">
            <v>JABODETABEK (INNER)</v>
          </cell>
          <cell r="J133" t="str">
            <v>KOTA TANGERANG</v>
          </cell>
          <cell r="K133" t="str">
            <v>SMARTFREN</v>
          </cell>
          <cell r="L133" t="str">
            <v>-</v>
          </cell>
          <cell r="M133"/>
          <cell r="N133"/>
          <cell r="O133"/>
          <cell r="P133"/>
          <cell r="Q133"/>
          <cell r="R133" t="str">
            <v>MIT</v>
          </cell>
          <cell r="S133" t="str">
            <v>Handri Purnama</v>
          </cell>
          <cell r="T133"/>
          <cell r="U133" t="str">
            <v>SITAC</v>
          </cell>
          <cell r="V133" t="str">
            <v>05. BAN/BAK</v>
          </cell>
          <cell r="W133"/>
          <cell r="X133"/>
          <cell r="Y133"/>
          <cell r="Z133" t="e">
            <v>#N/A</v>
          </cell>
          <cell r="AA133" t="str">
            <v>Kand B OK (outcell), BAN 45jt, potensi IW clear</v>
          </cell>
          <cell r="AB133" t="str">
            <v>Nego ulang BAN mjd 18jt, penyusunan eskalasi, paralel rehunting Kand B</v>
          </cell>
          <cell r="AC133" t="str">
            <v>28 Februari 2020</v>
          </cell>
          <cell r="AD133" t="str">
            <v>15 Maret 2020</v>
          </cell>
          <cell r="AE133"/>
          <cell r="AF133"/>
          <cell r="AG133"/>
          <cell r="AH133"/>
          <cell r="AI133"/>
          <cell r="AJ133"/>
          <cell r="AK133"/>
          <cell r="AL133"/>
          <cell r="AM133"/>
          <cell r="AN133"/>
          <cell r="AO133"/>
          <cell r="AP133"/>
        </row>
        <row r="134">
          <cell r="A134" t="str">
            <v>ZJKT2_5027</v>
          </cell>
          <cell r="B134">
            <v>230575310231</v>
          </cell>
          <cell r="C134">
            <v>1317871023</v>
          </cell>
          <cell r="D134" t="str">
            <v>ZJKT2_5027</v>
          </cell>
          <cell r="E134" t="str">
            <v>PANONGAN TANGERANG</v>
          </cell>
          <cell r="F134">
            <v>43858</v>
          </cell>
          <cell r="G134" t="str">
            <v>JAN 2020</v>
          </cell>
          <cell r="H134">
            <v>330</v>
          </cell>
          <cell r="I134" t="str">
            <v>JABODETABEK (OUTER)</v>
          </cell>
          <cell r="J134" t="str">
            <v>TANGERANG</v>
          </cell>
          <cell r="K134" t="str">
            <v>SMARTFREN</v>
          </cell>
          <cell r="L134" t="str">
            <v>-</v>
          </cell>
          <cell r="M134"/>
          <cell r="N134"/>
          <cell r="O134"/>
          <cell r="P134"/>
          <cell r="Q134"/>
          <cell r="R134" t="str">
            <v>MIT</v>
          </cell>
          <cell r="S134" t="str">
            <v>Handri Purnama</v>
          </cell>
          <cell r="T134"/>
          <cell r="U134" t="str">
            <v>SITAC</v>
          </cell>
          <cell r="V134" t="str">
            <v>05. BAN/BAK</v>
          </cell>
          <cell r="W134"/>
          <cell r="X134"/>
          <cell r="Y134"/>
          <cell r="Z134" t="e">
            <v>#N/A</v>
          </cell>
          <cell r="AA134" t="str">
            <v>Kand A BAN 20jt, eskalasi done submit</v>
          </cell>
          <cell r="AB134" t="str">
            <v>Waiting approval eskalasi</v>
          </cell>
          <cell r="AC134" t="str">
            <v>-</v>
          </cell>
          <cell r="AD134" t="str">
            <v>5 Maret 2020</v>
          </cell>
          <cell r="AE134"/>
          <cell r="AF134"/>
          <cell r="AG134"/>
          <cell r="AH134"/>
          <cell r="AI134"/>
          <cell r="AJ134"/>
          <cell r="AK134"/>
          <cell r="AL134"/>
          <cell r="AM134"/>
          <cell r="AN134"/>
          <cell r="AO134"/>
          <cell r="AP134"/>
        </row>
        <row r="135">
          <cell r="A135" t="str">
            <v>JAW-BT-TGR-0043</v>
          </cell>
          <cell r="B135">
            <v>30572530031</v>
          </cell>
          <cell r="C135">
            <v>1317721003</v>
          </cell>
          <cell r="D135" t="str">
            <v>JAW-BT-TGR-0043</v>
          </cell>
          <cell r="E135" t="str">
            <v>SALEMBARAN JAYA KOSAMBI</v>
          </cell>
          <cell r="F135">
            <v>43844</v>
          </cell>
          <cell r="G135" t="str">
            <v>JAN 2020</v>
          </cell>
          <cell r="H135">
            <v>344</v>
          </cell>
          <cell r="I135" t="str">
            <v>JABODETABEK (OUTER)</v>
          </cell>
          <cell r="J135" t="str">
            <v>TANGERANG</v>
          </cell>
          <cell r="K135" t="str">
            <v>XL</v>
          </cell>
          <cell r="L135" t="str">
            <v>-</v>
          </cell>
          <cell r="M135"/>
          <cell r="N135"/>
          <cell r="O135"/>
          <cell r="P135"/>
          <cell r="Q135"/>
          <cell r="R135" t="str">
            <v>MKI</v>
          </cell>
          <cell r="S135" t="str">
            <v>Aditya Rachaman</v>
          </cell>
          <cell r="T135"/>
          <cell r="U135" t="str">
            <v>RFC</v>
          </cell>
          <cell r="V135" t="str">
            <v>12. RFC</v>
          </cell>
          <cell r="W135"/>
          <cell r="X135"/>
          <cell r="Y135"/>
          <cell r="Z135" t="e">
            <v>#N/A</v>
          </cell>
          <cell r="AA135" t="str">
            <v>RFC Done</v>
          </cell>
          <cell r="AB135" t="str">
            <v>RFC Done</v>
          </cell>
          <cell r="AC135" t="str">
            <v>21 Februari 2020</v>
          </cell>
          <cell r="AD135" t="str">
            <v>9 Maret 2020</v>
          </cell>
          <cell r="AE135"/>
          <cell r="AF135"/>
          <cell r="AG135"/>
          <cell r="AH135" t="str">
            <v>NEW BUILD</v>
          </cell>
          <cell r="AI135" t="str">
            <v>STIP 1</v>
          </cell>
          <cell r="AJ135" t="str">
            <v>TB</v>
          </cell>
          <cell r="AK135" t="str">
            <v>B</v>
          </cell>
          <cell r="AL135" t="str">
            <v>106.666176</v>
          </cell>
          <cell r="AM135" t="str">
            <v>-6.078712</v>
          </cell>
          <cell r="AN135" t="str">
            <v>Pemukiman GG Putri V RT. 02 RW. 15 Kel. Salembaran Jaya Kec. Kosambi, Kab. Tangerang</v>
          </cell>
          <cell r="AO135" t="str">
            <v>52m</v>
          </cell>
          <cell r="AP135" t="str">
            <v>BANTEN</v>
          </cell>
        </row>
        <row r="136">
          <cell r="A136" t="str">
            <v>JAW-JB-CBI-0070</v>
          </cell>
          <cell r="B136">
            <v>30572100031</v>
          </cell>
          <cell r="C136">
            <v>1260911003</v>
          </cell>
          <cell r="D136" t="str">
            <v>JAW-JB-CBI-0070</v>
          </cell>
          <cell r="E136" t="str">
            <v>Kandang Roda Sentul</v>
          </cell>
          <cell r="F136">
            <v>43844</v>
          </cell>
          <cell r="G136" t="str">
            <v>JAN 2020</v>
          </cell>
          <cell r="H136">
            <v>344</v>
          </cell>
          <cell r="I136" t="str">
            <v>JABODETABEK (OUTER)</v>
          </cell>
          <cell r="J136" t="str">
            <v>BOGOR</v>
          </cell>
          <cell r="K136" t="str">
            <v>XL</v>
          </cell>
          <cell r="L136" t="str">
            <v>-</v>
          </cell>
          <cell r="M136"/>
          <cell r="N136"/>
          <cell r="O136"/>
          <cell r="P136"/>
          <cell r="Q136"/>
          <cell r="R136" t="str">
            <v>Orlie</v>
          </cell>
          <cell r="S136" t="str">
            <v>Handri Purnama</v>
          </cell>
          <cell r="T136"/>
          <cell r="U136" t="str">
            <v>PRE SITAC</v>
          </cell>
          <cell r="V136" t="str">
            <v>02. Rehunting</v>
          </cell>
          <cell r="W136"/>
          <cell r="X136"/>
          <cell r="Y136"/>
          <cell r="Z136" t="e">
            <v>#N/A</v>
          </cell>
          <cell r="AA136" t="str">
            <v>Rehunting Kandidat, Propose SS to rehunting kandidat (Pak Devi)</v>
          </cell>
          <cell r="AC136" t="str">
            <v>IW NY Clear Ekskalasi NY</v>
          </cell>
          <cell r="AD136" t="str">
            <v>Kandidat susah didapatkan, terbatasnya lahan</v>
          </cell>
          <cell r="AE136"/>
          <cell r="AF136" t="str">
            <v>Follow Up SS</v>
          </cell>
          <cell r="AG136"/>
          <cell r="AH136"/>
          <cell r="AI136"/>
          <cell r="AJ136"/>
          <cell r="AK136"/>
          <cell r="AL136"/>
          <cell r="AM136"/>
          <cell r="AN136"/>
          <cell r="AO136"/>
          <cell r="AP136"/>
        </row>
        <row r="137">
          <cell r="A137" t="str">
            <v>ZJKT2_5056</v>
          </cell>
          <cell r="B137">
            <v>230575320231</v>
          </cell>
          <cell r="C137">
            <v>1317881023</v>
          </cell>
          <cell r="D137" t="str">
            <v>ZJKT2_5056</v>
          </cell>
          <cell r="E137" t="str">
            <v>PASARKEMIS TANGERANG</v>
          </cell>
          <cell r="F137">
            <v>43858</v>
          </cell>
          <cell r="G137" t="str">
            <v>JAN 2020</v>
          </cell>
          <cell r="H137">
            <v>330</v>
          </cell>
          <cell r="I137" t="str">
            <v>JABODETABEK (OUTER)</v>
          </cell>
          <cell r="J137" t="str">
            <v>TANGERANG</v>
          </cell>
          <cell r="K137" t="str">
            <v>SMARTFREN</v>
          </cell>
          <cell r="L137" t="str">
            <v>-</v>
          </cell>
          <cell r="M137"/>
          <cell r="N137"/>
          <cell r="O137"/>
          <cell r="P137"/>
          <cell r="Q137"/>
          <cell r="R137" t="str">
            <v>MIT</v>
          </cell>
          <cell r="S137" t="str">
            <v>Handri Purnama</v>
          </cell>
          <cell r="T137"/>
          <cell r="U137" t="str">
            <v>SITAC</v>
          </cell>
          <cell r="V137" t="str">
            <v>05. BAN/BAK</v>
          </cell>
          <cell r="W137"/>
          <cell r="X137"/>
          <cell r="Y137"/>
          <cell r="Z137" t="e">
            <v>#N/A</v>
          </cell>
          <cell r="AA137" t="str">
            <v>Kand A (rooftop) BAN 25jt, IW minus 1 KK</v>
          </cell>
          <cell r="AB137" t="str">
            <v>Makesure IW clear 100%</v>
          </cell>
          <cell r="AC137" t="str">
            <v>26 Februari 2020</v>
          </cell>
          <cell r="AD137" t="str">
            <v>5 Maret 2020</v>
          </cell>
          <cell r="AE137"/>
          <cell r="AF137"/>
          <cell r="AG137"/>
          <cell r="AH137"/>
          <cell r="AI137"/>
          <cell r="AJ137"/>
          <cell r="AK137"/>
          <cell r="AL137"/>
          <cell r="AM137"/>
          <cell r="AN137"/>
          <cell r="AO137"/>
          <cell r="AP137"/>
        </row>
        <row r="138">
          <cell r="A138" t="str">
            <v>JAW-JB-CBI-0071</v>
          </cell>
          <cell r="B138">
            <v>30572150031</v>
          </cell>
          <cell r="C138">
            <v>1260931003</v>
          </cell>
          <cell r="D138" t="str">
            <v>JAW-JB-CBI-0071</v>
          </cell>
          <cell r="E138" t="str">
            <v>Pabuaran Kemang</v>
          </cell>
          <cell r="F138">
            <v>43844</v>
          </cell>
          <cell r="G138" t="str">
            <v>JAN 2020</v>
          </cell>
          <cell r="H138">
            <v>344</v>
          </cell>
          <cell r="I138" t="str">
            <v>JABODETABEK (OUTER)</v>
          </cell>
          <cell r="J138" t="str">
            <v>BOGOR</v>
          </cell>
          <cell r="K138" t="str">
            <v>XL</v>
          </cell>
          <cell r="L138" t="str">
            <v>-</v>
          </cell>
          <cell r="M138"/>
          <cell r="N138"/>
          <cell r="O138"/>
          <cell r="P138"/>
          <cell r="Q138"/>
          <cell r="R138" t="str">
            <v>Orlie</v>
          </cell>
          <cell r="S138" t="str">
            <v>Handri Purnama</v>
          </cell>
          <cell r="T138">
            <v>25000000</v>
          </cell>
          <cell r="U138" t="str">
            <v>RFC</v>
          </cell>
          <cell r="V138" t="str">
            <v>12. RFC</v>
          </cell>
          <cell r="W138"/>
          <cell r="X138"/>
          <cell r="Y138"/>
          <cell r="Z138" t="e">
            <v>#N/A</v>
          </cell>
          <cell r="AA138" t="str">
            <v>RFC Done</v>
          </cell>
          <cell r="AB138" t="str">
            <v>RFC Done</v>
          </cell>
          <cell r="AC138" t="str">
            <v>-</v>
          </cell>
          <cell r="AD138" t="str">
            <v>6 Maret 2020</v>
          </cell>
          <cell r="AE138"/>
          <cell r="AF138"/>
          <cell r="AG138"/>
          <cell r="AH138" t="str">
            <v>NEW BUILD</v>
          </cell>
          <cell r="AI138" t="str">
            <v>STIP 1</v>
          </cell>
          <cell r="AJ138" t="str">
            <v>TB</v>
          </cell>
          <cell r="AK138" t="str">
            <v>A</v>
          </cell>
          <cell r="AL138">
            <v>106.749386</v>
          </cell>
          <cell r="AM138">
            <v>-6.504181</v>
          </cell>
          <cell r="AN138" t="str">
            <v>Kp Kemang RT. 01 RW. 03 Desa Kemang Kec. Kemang, Kab. Bogor</v>
          </cell>
          <cell r="AO138" t="str">
            <v>42 m</v>
          </cell>
          <cell r="AP138" t="str">
            <v>JAWA BARAT</v>
          </cell>
        </row>
        <row r="139">
          <cell r="A139" t="str">
            <v>JAW-JB-CBI-0066</v>
          </cell>
          <cell r="B139">
            <v>30572070031</v>
          </cell>
          <cell r="C139">
            <v>1260891003</v>
          </cell>
          <cell r="D139" t="str">
            <v>JAW-JB-CBI-0066</v>
          </cell>
          <cell r="E139" t="str">
            <v>Pasirmukti Citeureup</v>
          </cell>
          <cell r="F139">
            <v>43844</v>
          </cell>
          <cell r="G139" t="str">
            <v>JAN 2020</v>
          </cell>
          <cell r="H139">
            <v>344</v>
          </cell>
          <cell r="I139" t="str">
            <v>JABODETABEK (OUTER)</v>
          </cell>
          <cell r="J139" t="str">
            <v>BOGOR</v>
          </cell>
          <cell r="K139" t="str">
            <v>XL</v>
          </cell>
          <cell r="L139" t="str">
            <v>-</v>
          </cell>
          <cell r="M139"/>
          <cell r="N139"/>
          <cell r="O139"/>
          <cell r="P139"/>
          <cell r="Q139"/>
          <cell r="R139" t="str">
            <v>Orlie</v>
          </cell>
          <cell r="S139" t="str">
            <v>Handri Purnama</v>
          </cell>
          <cell r="T139"/>
          <cell r="U139" t="str">
            <v>RFC</v>
          </cell>
          <cell r="V139" t="str">
            <v>12. RFC</v>
          </cell>
          <cell r="W139"/>
          <cell r="X139"/>
          <cell r="Y139"/>
          <cell r="Z139" t="e">
            <v>#N/A</v>
          </cell>
          <cell r="AA139" t="str">
            <v>RFC Done</v>
          </cell>
          <cell r="AB139" t="str">
            <v>RFC Done</v>
          </cell>
          <cell r="AC139" t="str">
            <v>-</v>
          </cell>
          <cell r="AD139"/>
          <cell r="AE139"/>
          <cell r="AF139"/>
          <cell r="AG139"/>
          <cell r="AH139" t="str">
            <v>NEW BUILD</v>
          </cell>
          <cell r="AI139" t="str">
            <v>STIP 1</v>
          </cell>
          <cell r="AJ139" t="str">
            <v>TB</v>
          </cell>
          <cell r="AK139" t="str">
            <v>B</v>
          </cell>
          <cell r="AL139" t="str">
            <v>106.899817°</v>
          </cell>
          <cell r="AM139" t="str">
            <v xml:space="preserve"> -6.505611°</v>
          </cell>
          <cell r="AN139" t="str">
            <v>Kp rawa bogo rt.004 rw 06, ds. Pasirmukti, kec. Citeureup, kab. Bogor, Jawa barat</v>
          </cell>
          <cell r="AO139" t="str">
            <v>42 m</v>
          </cell>
          <cell r="AP139" t="str">
            <v>JAWA BARAT</v>
          </cell>
        </row>
        <row r="140">
          <cell r="A140" t="str">
            <v>JAW-JB-CBI-0084</v>
          </cell>
          <cell r="B140">
            <v>30572400031</v>
          </cell>
          <cell r="C140">
            <v>1260961003</v>
          </cell>
          <cell r="D140" t="str">
            <v>JAW-JB-CBI-0084</v>
          </cell>
          <cell r="E140" t="str">
            <v>Sabililah Citeureup</v>
          </cell>
          <cell r="F140">
            <v>43844</v>
          </cell>
          <cell r="G140" t="str">
            <v>JAN 2020</v>
          </cell>
          <cell r="H140">
            <v>344</v>
          </cell>
          <cell r="I140" t="str">
            <v>JABODETABEK (OUTER)</v>
          </cell>
          <cell r="J140" t="str">
            <v>BOGOR</v>
          </cell>
          <cell r="K140" t="str">
            <v>XL</v>
          </cell>
          <cell r="L140" t="str">
            <v>-</v>
          </cell>
          <cell r="M140"/>
          <cell r="N140"/>
          <cell r="O140"/>
          <cell r="P140"/>
          <cell r="Q140"/>
          <cell r="R140" t="str">
            <v>Orlie</v>
          </cell>
          <cell r="S140" t="str">
            <v>Handri Purnama</v>
          </cell>
          <cell r="T140"/>
          <cell r="U140" t="str">
            <v>RFC</v>
          </cell>
          <cell r="V140" t="str">
            <v>12. RFC</v>
          </cell>
          <cell r="W140"/>
          <cell r="X140"/>
          <cell r="Y140"/>
          <cell r="Z140" t="e">
            <v>#N/A</v>
          </cell>
          <cell r="AA140" t="str">
            <v>RFC Done</v>
          </cell>
          <cell r="AB140" t="str">
            <v>RFC Done</v>
          </cell>
          <cell r="AC140" t="str">
            <v>25 Februari 2020</v>
          </cell>
          <cell r="AD140" t="str">
            <v>11 Maret 2020</v>
          </cell>
          <cell r="AE140"/>
          <cell r="AF140"/>
          <cell r="AG140"/>
          <cell r="AH140" t="str">
            <v>NEW BUILD</v>
          </cell>
          <cell r="AI140" t="str">
            <v>STIP 1</v>
          </cell>
          <cell r="AJ140" t="str">
            <v>TB</v>
          </cell>
          <cell r="AK140" t="str">
            <v>D</v>
          </cell>
          <cell r="AL140" t="str">
            <v>106.89312</v>
          </cell>
          <cell r="AM140" t="str">
            <v>-6.48569</v>
          </cell>
          <cell r="AN140" t="str">
            <v>Jl. Kh Nasir Kp. Lemper RT. 02 RW. 06 Desa Citeureup Kec. Citeureup Kab. Bogor</v>
          </cell>
          <cell r="AO140" t="str">
            <v>42m</v>
          </cell>
          <cell r="AP140" t="str">
            <v>JAWA BARAT</v>
          </cell>
        </row>
        <row r="141">
          <cell r="A141" t="str">
            <v>ZJKT2_5543</v>
          </cell>
          <cell r="B141">
            <v>230560400231</v>
          </cell>
          <cell r="C141">
            <v>1127531023</v>
          </cell>
          <cell r="D141" t="str">
            <v>Jabo Inner_Add_058</v>
          </cell>
          <cell r="E141" t="str">
            <v>CAKUNG JAKTIM</v>
          </cell>
          <cell r="F141">
            <v>43829</v>
          </cell>
          <cell r="G141" t="str">
            <v>DES 2019</v>
          </cell>
          <cell r="H141">
            <v>359</v>
          </cell>
          <cell r="I141" t="str">
            <v>JABODETABEK (INNER)</v>
          </cell>
          <cell r="J141" t="str">
            <v>JAKARTA TIMUR</v>
          </cell>
          <cell r="K141" t="str">
            <v>SMARTFREN</v>
          </cell>
          <cell r="L141" t="str">
            <v>-</v>
          </cell>
          <cell r="M141"/>
          <cell r="N141"/>
          <cell r="O141"/>
          <cell r="P141"/>
          <cell r="Q141"/>
          <cell r="R141" t="str">
            <v>KLS</v>
          </cell>
          <cell r="S141" t="str">
            <v>Aditya Rachaman</v>
          </cell>
          <cell r="T141"/>
          <cell r="U141" t="str">
            <v>RFC</v>
          </cell>
          <cell r="V141" t="str">
            <v>12. RFC</v>
          </cell>
          <cell r="W141"/>
          <cell r="X141"/>
          <cell r="Y141"/>
          <cell r="Z141" t="e">
            <v>#N/A</v>
          </cell>
          <cell r="AA141" t="str">
            <v>RFC Done</v>
          </cell>
          <cell r="AB141" t="str">
            <v>PO LUMPSUM</v>
          </cell>
          <cell r="AC141"/>
          <cell r="AD141"/>
          <cell r="AE141"/>
          <cell r="AF141"/>
          <cell r="AG141"/>
          <cell r="AH141"/>
          <cell r="AI141"/>
          <cell r="AJ141"/>
          <cell r="AK141"/>
          <cell r="AL141"/>
          <cell r="AM141"/>
          <cell r="AN141"/>
          <cell r="AO141"/>
          <cell r="AP141"/>
        </row>
        <row r="142">
          <cell r="A142" t="str">
            <v>JAW-BT-TGR-0040</v>
          </cell>
          <cell r="B142">
            <v>30572300031</v>
          </cell>
          <cell r="C142">
            <v>1317561003</v>
          </cell>
          <cell r="D142" t="str">
            <v>JAW-BT-TGR-0040</v>
          </cell>
          <cell r="E142" t="str">
            <v>Cibugel Cisoka</v>
          </cell>
          <cell r="F142">
            <v>43844</v>
          </cell>
          <cell r="G142" t="str">
            <v>JAN 2020</v>
          </cell>
          <cell r="H142">
            <v>344</v>
          </cell>
          <cell r="I142" t="str">
            <v>JABODETABEK (OUTER)</v>
          </cell>
          <cell r="J142" t="str">
            <v>TANGERANG</v>
          </cell>
          <cell r="K142" t="str">
            <v>XL</v>
          </cell>
          <cell r="L142" t="str">
            <v>-</v>
          </cell>
          <cell r="M142"/>
          <cell r="N142"/>
          <cell r="O142"/>
          <cell r="P142"/>
          <cell r="Q142"/>
          <cell r="R142" t="str">
            <v>DATATEL</v>
          </cell>
          <cell r="S142" t="str">
            <v>Handri Purnama</v>
          </cell>
          <cell r="T142"/>
          <cell r="U142" t="str">
            <v>RFC</v>
          </cell>
          <cell r="V142" t="str">
            <v>12. RFC</v>
          </cell>
          <cell r="W142"/>
          <cell r="X142"/>
          <cell r="Y142"/>
          <cell r="Z142" t="e">
            <v>#N/A</v>
          </cell>
          <cell r="AA142" t="str">
            <v>RFC done</v>
          </cell>
          <cell r="AB142" t="str">
            <v>Update system RFC</v>
          </cell>
          <cell r="AC142" t="str">
            <v>-</v>
          </cell>
          <cell r="AD142" t="str">
            <v>28 Februari 2020</v>
          </cell>
          <cell r="AE142"/>
          <cell r="AF142"/>
          <cell r="AG142"/>
          <cell r="AH142"/>
          <cell r="AI142"/>
          <cell r="AJ142"/>
          <cell r="AK142"/>
          <cell r="AL142"/>
          <cell r="AM142"/>
          <cell r="AN142"/>
          <cell r="AO142"/>
          <cell r="AP142"/>
        </row>
        <row r="143">
          <cell r="A143" t="str">
            <v>JAW-JK-TJP-0626</v>
          </cell>
          <cell r="B143">
            <v>30572050031</v>
          </cell>
          <cell r="C143">
            <v>1127771003</v>
          </cell>
          <cell r="D143" t="str">
            <v>JAW-JK-TJP-0626</v>
          </cell>
          <cell r="E143" t="str">
            <v>Kebon Bawang Tanjung Priok</v>
          </cell>
          <cell r="F143">
            <v>43844</v>
          </cell>
          <cell r="G143" t="str">
            <v>JAN 2020</v>
          </cell>
          <cell r="H143">
            <v>344</v>
          </cell>
          <cell r="I143" t="str">
            <v>JABODETABEK (INNER)</v>
          </cell>
          <cell r="J143" t="str">
            <v>JAKARTA UTARA</v>
          </cell>
          <cell r="K143" t="str">
            <v>XL</v>
          </cell>
          <cell r="L143" t="str">
            <v>-</v>
          </cell>
          <cell r="M143"/>
          <cell r="N143"/>
          <cell r="O143"/>
          <cell r="P143"/>
          <cell r="Q143"/>
          <cell r="R143" t="str">
            <v>KLS</v>
          </cell>
          <cell r="S143" t="str">
            <v>Aditya Rachaman</v>
          </cell>
          <cell r="T143"/>
          <cell r="U143" t="str">
            <v>RFC</v>
          </cell>
          <cell r="V143" t="str">
            <v>12. RFC</v>
          </cell>
          <cell r="W143"/>
          <cell r="X143"/>
          <cell r="Y143"/>
          <cell r="Z143" t="e">
            <v>#N/A</v>
          </cell>
          <cell r="AA143" t="str">
            <v>RFC Done</v>
          </cell>
          <cell r="AB143" t="str">
            <v>RFC Done</v>
          </cell>
          <cell r="AC143"/>
          <cell r="AD143"/>
          <cell r="AE143"/>
          <cell r="AF143"/>
          <cell r="AG143"/>
          <cell r="AH143"/>
          <cell r="AI143"/>
          <cell r="AJ143"/>
          <cell r="AK143"/>
          <cell r="AL143"/>
          <cell r="AM143"/>
          <cell r="AN143"/>
          <cell r="AO143"/>
          <cell r="AP143"/>
        </row>
        <row r="144">
          <cell r="A144" t="str">
            <v>JAW-JK-CKG-0666</v>
          </cell>
          <cell r="B144">
            <v>30572260031</v>
          </cell>
          <cell r="C144">
            <v>1127801003</v>
          </cell>
          <cell r="D144" t="str">
            <v>JAW-JK-CKG-0666</v>
          </cell>
          <cell r="E144" t="str">
            <v>Kemuning Matraman</v>
          </cell>
          <cell r="F144">
            <v>43844</v>
          </cell>
          <cell r="G144" t="str">
            <v>JAN 2020</v>
          </cell>
          <cell r="H144">
            <v>344</v>
          </cell>
          <cell r="I144" t="str">
            <v>JABODETABEK (INNER)</v>
          </cell>
          <cell r="J144" t="str">
            <v>JAKARTA TIMUR</v>
          </cell>
          <cell r="K144" t="str">
            <v>XL</v>
          </cell>
          <cell r="L144" t="str">
            <v>-</v>
          </cell>
          <cell r="M144"/>
          <cell r="N144"/>
          <cell r="O144"/>
          <cell r="P144"/>
          <cell r="Q144"/>
          <cell r="R144" t="str">
            <v>KLS</v>
          </cell>
          <cell r="S144" t="str">
            <v>Aditya Rachaman</v>
          </cell>
          <cell r="T144"/>
          <cell r="U144" t="str">
            <v>RFC</v>
          </cell>
          <cell r="V144" t="str">
            <v>12. RFC</v>
          </cell>
          <cell r="W144"/>
          <cell r="X144"/>
          <cell r="Y144"/>
          <cell r="Z144" t="e">
            <v>#N/A</v>
          </cell>
          <cell r="AA144" t="str">
            <v>RFC Done</v>
          </cell>
          <cell r="AB144" t="str">
            <v>RFC Done</v>
          </cell>
          <cell r="AC144"/>
          <cell r="AD144"/>
          <cell r="AE144"/>
          <cell r="AF144"/>
          <cell r="AG144"/>
          <cell r="AH144" t="str">
            <v>MCP</v>
          </cell>
          <cell r="AI144" t="str">
            <v>STIP 1</v>
          </cell>
          <cell r="AJ144" t="str">
            <v>TB</v>
          </cell>
          <cell r="AK144" t="str">
            <v>E</v>
          </cell>
          <cell r="AL144">
            <v>106.8626</v>
          </cell>
          <cell r="AM144">
            <v>-6.1975600000000002</v>
          </cell>
          <cell r="AN144" t="str">
            <v>Jl. Kemuning II RT. 04 RW. 04 Kel. Utan Kayu Utara Kec. Matraman, Jakarta Timur</v>
          </cell>
          <cell r="AO144" t="str">
            <v>25 m</v>
          </cell>
          <cell r="AP144" t="str">
            <v>DKI Jakarta</v>
          </cell>
        </row>
        <row r="145">
          <cell r="A145" t="str">
            <v>JAW-JK-CKG-0664</v>
          </cell>
          <cell r="B145">
            <v>30571800031</v>
          </cell>
          <cell r="C145">
            <v>1127651003</v>
          </cell>
          <cell r="D145" t="str">
            <v>JAW-JK-CKG-0664</v>
          </cell>
          <cell r="E145" t="str">
            <v>Kesadaran Cipinang</v>
          </cell>
          <cell r="F145">
            <v>43844</v>
          </cell>
          <cell r="G145" t="str">
            <v>JAN 2020</v>
          </cell>
          <cell r="H145">
            <v>344</v>
          </cell>
          <cell r="I145" t="str">
            <v>JABODETABEK (INNER)</v>
          </cell>
          <cell r="J145" t="str">
            <v>JAKARTA TIMUR</v>
          </cell>
          <cell r="K145" t="str">
            <v>XL</v>
          </cell>
          <cell r="L145" t="str">
            <v>-</v>
          </cell>
          <cell r="M145"/>
          <cell r="N145"/>
          <cell r="O145"/>
          <cell r="P145"/>
          <cell r="Q145"/>
          <cell r="R145" t="str">
            <v>KLS</v>
          </cell>
          <cell r="S145" t="str">
            <v>Aditya Rachaman</v>
          </cell>
          <cell r="T145"/>
          <cell r="U145" t="str">
            <v>RFC</v>
          </cell>
          <cell r="V145" t="str">
            <v>12. RFC</v>
          </cell>
          <cell r="W145"/>
          <cell r="X145"/>
          <cell r="Y145"/>
          <cell r="Z145" t="e">
            <v>#N/A</v>
          </cell>
          <cell r="AA145" t="str">
            <v>RFC Done</v>
          </cell>
          <cell r="AB145" t="str">
            <v>RFC Done</v>
          </cell>
          <cell r="AC145"/>
          <cell r="AD145"/>
          <cell r="AE145"/>
          <cell r="AF145"/>
          <cell r="AG145"/>
          <cell r="AH145"/>
          <cell r="AI145"/>
          <cell r="AJ145"/>
          <cell r="AK145"/>
          <cell r="AL145"/>
          <cell r="AM145"/>
          <cell r="AN145"/>
          <cell r="AO145"/>
          <cell r="AP145"/>
        </row>
        <row r="146">
          <cell r="A146" t="str">
            <v>JAW-JK-CKG-0354</v>
          </cell>
          <cell r="B146">
            <v>30572210031</v>
          </cell>
          <cell r="C146">
            <v>1127791003</v>
          </cell>
          <cell r="D146" t="str">
            <v>JAW-JK-CKG-0354</v>
          </cell>
          <cell r="E146" t="str">
            <v>Mejing Bambu Apus</v>
          </cell>
          <cell r="F146">
            <v>43844</v>
          </cell>
          <cell r="G146" t="str">
            <v>JAN 2020</v>
          </cell>
          <cell r="H146">
            <v>344</v>
          </cell>
          <cell r="I146" t="str">
            <v>JABODETABEK (INNER)</v>
          </cell>
          <cell r="J146" t="str">
            <v>JAKARTA TIMUR</v>
          </cell>
          <cell r="K146" t="str">
            <v>XL</v>
          </cell>
          <cell r="L146" t="str">
            <v>-</v>
          </cell>
          <cell r="M146"/>
          <cell r="N146"/>
          <cell r="O146"/>
          <cell r="P146"/>
          <cell r="Q146"/>
          <cell r="R146" t="str">
            <v>KLS</v>
          </cell>
          <cell r="S146" t="str">
            <v>Aditya Rachaman</v>
          </cell>
          <cell r="T146"/>
          <cell r="U146" t="str">
            <v>RFC</v>
          </cell>
          <cell r="V146" t="str">
            <v>12. RFC</v>
          </cell>
          <cell r="W146"/>
          <cell r="X146"/>
          <cell r="Y146"/>
          <cell r="Z146" t="e">
            <v>#N/A</v>
          </cell>
          <cell r="AA146" t="str">
            <v>RFC Done</v>
          </cell>
          <cell r="AB146" t="str">
            <v>RFC Done</v>
          </cell>
          <cell r="AC146"/>
          <cell r="AD146"/>
          <cell r="AE146"/>
          <cell r="AF146"/>
          <cell r="AG146"/>
          <cell r="AH146"/>
          <cell r="AI146"/>
          <cell r="AJ146"/>
          <cell r="AK146"/>
          <cell r="AL146"/>
          <cell r="AM146"/>
          <cell r="AN146"/>
          <cell r="AO146"/>
          <cell r="AP146"/>
        </row>
        <row r="147">
          <cell r="A147" t="str">
            <v>JAW-JK-GGP-0529</v>
          </cell>
          <cell r="B147">
            <v>30571970031</v>
          </cell>
          <cell r="C147">
            <v>1127751003</v>
          </cell>
          <cell r="D147" t="str">
            <v>JAW-JK-GGP-0529</v>
          </cell>
          <cell r="E147" t="str">
            <v>Pegadungan Tegal Alur</v>
          </cell>
          <cell r="F147">
            <v>43844</v>
          </cell>
          <cell r="G147" t="str">
            <v>JAN 2020</v>
          </cell>
          <cell r="H147">
            <v>344</v>
          </cell>
          <cell r="I147" t="str">
            <v>JABODETABEK (INNER)</v>
          </cell>
          <cell r="J147" t="str">
            <v>JAKARTA BARAT</v>
          </cell>
          <cell r="K147" t="str">
            <v>XL</v>
          </cell>
          <cell r="L147" t="str">
            <v>-</v>
          </cell>
          <cell r="M147"/>
          <cell r="N147"/>
          <cell r="O147"/>
          <cell r="P147"/>
          <cell r="Q147"/>
          <cell r="R147" t="str">
            <v>KLS</v>
          </cell>
          <cell r="S147" t="str">
            <v>Aditya Rachaman</v>
          </cell>
          <cell r="T147"/>
          <cell r="U147" t="str">
            <v>RFC</v>
          </cell>
          <cell r="V147" t="str">
            <v>12. RFC</v>
          </cell>
          <cell r="W147"/>
          <cell r="X147"/>
          <cell r="Y147"/>
          <cell r="Z147" t="e">
            <v>#N/A</v>
          </cell>
          <cell r="AA147" t="str">
            <v>RFC Done</v>
          </cell>
          <cell r="AB147" t="str">
            <v>RFC Done</v>
          </cell>
          <cell r="AC147"/>
          <cell r="AD147"/>
          <cell r="AE147"/>
          <cell r="AF147"/>
          <cell r="AG147"/>
          <cell r="AH147" t="str">
            <v xml:space="preserve">MCP </v>
          </cell>
          <cell r="AI147" t="str">
            <v>STIP 1</v>
          </cell>
          <cell r="AJ147" t="str">
            <v>TB</v>
          </cell>
          <cell r="AK147" t="str">
            <v>C</v>
          </cell>
          <cell r="AL147">
            <v>106.70492</v>
          </cell>
          <cell r="AM147">
            <v>-6.1162700000000001</v>
          </cell>
          <cell r="AN147" t="str">
            <v>Jl Perepedan Dalam RT. 06 RW. 09 Kel. Kamal Kec. Kali deres, Jakarta Barat</v>
          </cell>
          <cell r="AO147" t="str">
            <v>25 m</v>
          </cell>
          <cell r="AP147" t="str">
            <v>DKI Jakarta</v>
          </cell>
        </row>
        <row r="148">
          <cell r="A148" t="str">
            <v>JAW-JK-KYB-0097</v>
          </cell>
          <cell r="B148">
            <v>30571760031</v>
          </cell>
          <cell r="C148">
            <v>1127611003</v>
          </cell>
          <cell r="D148" t="str">
            <v>JAW-JK-KYB-0097</v>
          </cell>
          <cell r="E148" t="str">
            <v>Jalan Asem Cipedak</v>
          </cell>
          <cell r="F148">
            <v>43844</v>
          </cell>
          <cell r="G148" t="str">
            <v>JAN 2020</v>
          </cell>
          <cell r="H148">
            <v>344</v>
          </cell>
          <cell r="I148" t="str">
            <v>JABODETABEK (INNER)</v>
          </cell>
          <cell r="J148" t="str">
            <v>JAKARTA SELATAN</v>
          </cell>
          <cell r="K148" t="str">
            <v>XL</v>
          </cell>
          <cell r="L148" t="str">
            <v>-</v>
          </cell>
          <cell r="M148"/>
          <cell r="N148"/>
          <cell r="O148"/>
          <cell r="P148"/>
          <cell r="Q148"/>
          <cell r="R148" t="str">
            <v>KLS</v>
          </cell>
          <cell r="S148" t="str">
            <v>Aditya Rachaman</v>
          </cell>
          <cell r="T148"/>
          <cell r="U148" t="str">
            <v>RFC</v>
          </cell>
          <cell r="V148" t="str">
            <v>12. RFC</v>
          </cell>
          <cell r="W148"/>
          <cell r="X148"/>
          <cell r="Y148"/>
          <cell r="Z148" t="e">
            <v>#N/A</v>
          </cell>
          <cell r="AA148" t="str">
            <v>RFC Done</v>
          </cell>
          <cell r="AB148" t="str">
            <v>RFC Done</v>
          </cell>
          <cell r="AC148"/>
          <cell r="AD148"/>
          <cell r="AE148"/>
          <cell r="AF148"/>
          <cell r="AG148"/>
          <cell r="AH148" t="str">
            <v>MCP</v>
          </cell>
          <cell r="AI148" t="str">
            <v>STIP 1</v>
          </cell>
          <cell r="AJ148" t="str">
            <v>TB</v>
          </cell>
          <cell r="AK148" t="str">
            <v>B</v>
          </cell>
          <cell r="AL148">
            <v>106.80441</v>
          </cell>
          <cell r="AM148">
            <v>-6.3526199999999999</v>
          </cell>
          <cell r="AN148" t="str">
            <v>Jl. Timbul III B RT. 08 RW. 04 Kel. Cipedak Kec. Jagakarsa, Jakarta Selatab</v>
          </cell>
          <cell r="AO148" t="str">
            <v>21 m</v>
          </cell>
          <cell r="AP148" t="str">
            <v>DKI Jakarta</v>
          </cell>
        </row>
        <row r="149">
          <cell r="A149" t="str">
            <v>JAW-JK-KYB-0098</v>
          </cell>
          <cell r="B149">
            <v>30571770031</v>
          </cell>
          <cell r="C149">
            <v>1127621003</v>
          </cell>
          <cell r="D149" t="str">
            <v>JAW-JK-KYB-0098</v>
          </cell>
          <cell r="E149" t="str">
            <v>Jalan Pemuda Cipedak</v>
          </cell>
          <cell r="F149">
            <v>43844</v>
          </cell>
          <cell r="G149" t="str">
            <v>JAN 2020</v>
          </cell>
          <cell r="H149">
            <v>344</v>
          </cell>
          <cell r="I149" t="str">
            <v>JABODETABEK (INNER)</v>
          </cell>
          <cell r="J149" t="str">
            <v>JAKARTA SELATAN</v>
          </cell>
          <cell r="K149" t="str">
            <v>XL</v>
          </cell>
          <cell r="L149" t="str">
            <v>-</v>
          </cell>
          <cell r="M149"/>
          <cell r="N149"/>
          <cell r="O149"/>
          <cell r="P149"/>
          <cell r="Q149"/>
          <cell r="R149" t="str">
            <v>KLS</v>
          </cell>
          <cell r="S149" t="str">
            <v>Aditya Rachaman</v>
          </cell>
          <cell r="T149"/>
          <cell r="U149" t="str">
            <v>RFC</v>
          </cell>
          <cell r="V149" t="str">
            <v>12. RFC</v>
          </cell>
          <cell r="W149"/>
          <cell r="X149"/>
          <cell r="Y149"/>
          <cell r="Z149" t="e">
            <v>#N/A</v>
          </cell>
          <cell r="AA149" t="str">
            <v>RFC Done</v>
          </cell>
          <cell r="AB149" t="str">
            <v>RFC Done</v>
          </cell>
          <cell r="AC149"/>
          <cell r="AD149"/>
          <cell r="AE149"/>
          <cell r="AF149"/>
          <cell r="AG149"/>
          <cell r="AH149" t="str">
            <v>MCP</v>
          </cell>
          <cell r="AI149" t="str">
            <v>STIP 1</v>
          </cell>
          <cell r="AJ149" t="str">
            <v>TB</v>
          </cell>
          <cell r="AK149" t="str">
            <v>E</v>
          </cell>
          <cell r="AL149">
            <v>106.81216000000001</v>
          </cell>
          <cell r="AM149">
            <v>-6.3587499999999997</v>
          </cell>
          <cell r="AN149" t="str">
            <v>Jl. Pemuda I RT. 08 RW. 09 Kel. Srengseng Sawah Kec. Jagakarsa, Jakarta Selatan</v>
          </cell>
          <cell r="AO149" t="str">
            <v>MCP 20</v>
          </cell>
          <cell r="AP149" t="str">
            <v>DKI Jakarta</v>
          </cell>
        </row>
        <row r="150">
          <cell r="A150" t="str">
            <v>JAW-JK-GGP-0525</v>
          </cell>
          <cell r="B150">
            <v>30573450031</v>
          </cell>
          <cell r="C150">
            <v>1127921003</v>
          </cell>
          <cell r="D150" t="str">
            <v>JAW-JK-GGP-0525</v>
          </cell>
          <cell r="E150" t="str">
            <v>Jalan Pulau Pantara</v>
          </cell>
          <cell r="F150">
            <v>43846</v>
          </cell>
          <cell r="G150" t="str">
            <v>JAN 2020</v>
          </cell>
          <cell r="H150">
            <v>342</v>
          </cell>
          <cell r="I150" t="str">
            <v>JABODETABEK (INNER)</v>
          </cell>
          <cell r="J150" t="str">
            <v>JAKARTA BARAT</v>
          </cell>
          <cell r="K150" t="str">
            <v>XL</v>
          </cell>
          <cell r="L150" t="str">
            <v>-</v>
          </cell>
          <cell r="M150"/>
          <cell r="N150"/>
          <cell r="O150"/>
          <cell r="P150"/>
          <cell r="Q150"/>
          <cell r="R150" t="str">
            <v>KLS</v>
          </cell>
          <cell r="S150" t="str">
            <v>Aditya Rachaman</v>
          </cell>
          <cell r="T150"/>
          <cell r="U150" t="str">
            <v>Drop by OPR</v>
          </cell>
          <cell r="V150" t="str">
            <v>Drop by OPR</v>
          </cell>
          <cell r="W150"/>
          <cell r="X150"/>
          <cell r="Y150"/>
          <cell r="Z150" t="e">
            <v>#N/A</v>
          </cell>
          <cell r="AA150" t="str">
            <v>Drop By Operator</v>
          </cell>
          <cell r="AB150" t="str">
            <v>Drop By Operator</v>
          </cell>
          <cell r="AC150"/>
          <cell r="AD150"/>
          <cell r="AE150"/>
          <cell r="AF150"/>
          <cell r="AG150"/>
          <cell r="AH150"/>
          <cell r="AI150"/>
          <cell r="AJ150"/>
          <cell r="AK150"/>
          <cell r="AL150"/>
          <cell r="AM150"/>
          <cell r="AN150"/>
          <cell r="AO150"/>
          <cell r="AP150"/>
        </row>
        <row r="151">
          <cell r="A151" t="str">
            <v>JAW-JK-KYB-0108</v>
          </cell>
          <cell r="B151">
            <v>30572340031</v>
          </cell>
          <cell r="C151">
            <v>1127851003</v>
          </cell>
          <cell r="D151" t="str">
            <v>JAW-JK-KYB-0108</v>
          </cell>
          <cell r="E151" t="str">
            <v>Jalan Rukun Pasming</v>
          </cell>
          <cell r="F151">
            <v>43844</v>
          </cell>
          <cell r="G151" t="str">
            <v>JAN 2020</v>
          </cell>
          <cell r="H151">
            <v>344</v>
          </cell>
          <cell r="I151" t="str">
            <v>JABODETABEK (INNER)</v>
          </cell>
          <cell r="J151" t="str">
            <v>JAKARTA SELATAN</v>
          </cell>
          <cell r="K151" t="str">
            <v>XL</v>
          </cell>
          <cell r="L151" t="str">
            <v>-</v>
          </cell>
          <cell r="M151"/>
          <cell r="N151"/>
          <cell r="O151"/>
          <cell r="P151"/>
          <cell r="Q151"/>
          <cell r="R151" t="str">
            <v>KLS</v>
          </cell>
          <cell r="S151" t="str">
            <v>Aditya Rachaman</v>
          </cell>
          <cell r="T151"/>
          <cell r="U151" t="str">
            <v>Drop by OPR</v>
          </cell>
          <cell r="V151" t="str">
            <v>Drop by OPR</v>
          </cell>
          <cell r="W151"/>
          <cell r="X151"/>
          <cell r="Y151"/>
          <cell r="Z151" t="e">
            <v>#N/A</v>
          </cell>
          <cell r="AA151" t="str">
            <v>Drop By Operator</v>
          </cell>
          <cell r="AB151" t="str">
            <v>Drop By Operator</v>
          </cell>
          <cell r="AC151"/>
          <cell r="AD151"/>
          <cell r="AE151"/>
          <cell r="AF151"/>
          <cell r="AG151"/>
          <cell r="AH151"/>
          <cell r="AI151"/>
          <cell r="AJ151"/>
          <cell r="AK151"/>
          <cell r="AL151"/>
          <cell r="AM151"/>
          <cell r="AN151"/>
          <cell r="AO151"/>
          <cell r="AP151"/>
        </row>
        <row r="152">
          <cell r="A152" t="str">
            <v>JAW-JK-TJP-0620</v>
          </cell>
          <cell r="B152">
            <v>30571860031</v>
          </cell>
          <cell r="C152">
            <v>1127681003</v>
          </cell>
          <cell r="D152" t="str">
            <v>JAW-JK-TJP-0620</v>
          </cell>
          <cell r="E152" t="str">
            <v>Cempaka Raya Cakung</v>
          </cell>
          <cell r="F152">
            <v>43844</v>
          </cell>
          <cell r="G152" t="str">
            <v>JAN 2020</v>
          </cell>
          <cell r="H152">
            <v>344</v>
          </cell>
          <cell r="I152" t="str">
            <v>JABODETABEK (INNER)</v>
          </cell>
          <cell r="J152" t="str">
            <v>JAKARTA UTARA</v>
          </cell>
          <cell r="K152" t="str">
            <v>XL</v>
          </cell>
          <cell r="L152" t="str">
            <v>-</v>
          </cell>
          <cell r="M152"/>
          <cell r="N152"/>
          <cell r="O152"/>
          <cell r="P152"/>
          <cell r="Q152"/>
          <cell r="R152" t="str">
            <v>KLS</v>
          </cell>
          <cell r="S152" t="str">
            <v>Aditya Rachaman</v>
          </cell>
          <cell r="T152"/>
          <cell r="U152" t="str">
            <v>Drop by OPR</v>
          </cell>
          <cell r="V152" t="str">
            <v>Drop by OPR</v>
          </cell>
          <cell r="W152"/>
          <cell r="X152"/>
          <cell r="Y152"/>
          <cell r="Z152" t="e">
            <v>#N/A</v>
          </cell>
          <cell r="AA152" t="str">
            <v>Drop By Operator</v>
          </cell>
          <cell r="AB152" t="str">
            <v>Drop By Operator</v>
          </cell>
          <cell r="AC152"/>
          <cell r="AD152"/>
          <cell r="AE152"/>
          <cell r="AF152"/>
          <cell r="AG152"/>
          <cell r="AH152"/>
          <cell r="AI152"/>
          <cell r="AJ152"/>
          <cell r="AK152"/>
          <cell r="AL152"/>
          <cell r="AM152"/>
          <cell r="AN152"/>
          <cell r="AO152"/>
          <cell r="AP152"/>
        </row>
        <row r="153">
          <cell r="A153" t="str">
            <v>JAW-JK-TJP-0621</v>
          </cell>
          <cell r="B153">
            <v>30572280031</v>
          </cell>
          <cell r="C153">
            <v>1127821003</v>
          </cell>
          <cell r="D153" t="str">
            <v>JAW-JK-TJP-0621</v>
          </cell>
          <cell r="E153" t="str">
            <v>Dufan Marina</v>
          </cell>
          <cell r="F153">
            <v>43844</v>
          </cell>
          <cell r="G153" t="str">
            <v>JAN 2020</v>
          </cell>
          <cell r="H153">
            <v>344</v>
          </cell>
          <cell r="I153" t="str">
            <v>JABODETABEK (INNER)</v>
          </cell>
          <cell r="J153" t="str">
            <v>JAKARTA UTARA</v>
          </cell>
          <cell r="K153" t="str">
            <v>XL</v>
          </cell>
          <cell r="L153" t="str">
            <v>-</v>
          </cell>
          <cell r="M153"/>
          <cell r="N153"/>
          <cell r="O153"/>
          <cell r="P153"/>
          <cell r="Q153"/>
          <cell r="R153" t="str">
            <v>KLS</v>
          </cell>
          <cell r="S153" t="str">
            <v>Aditya Rachman</v>
          </cell>
          <cell r="T153"/>
          <cell r="U153" t="str">
            <v>PRE SITAC</v>
          </cell>
          <cell r="V153" t="str">
            <v>02. Rehunting</v>
          </cell>
          <cell r="W153"/>
          <cell r="X153" t="str">
            <v>November</v>
          </cell>
          <cell r="Y153"/>
          <cell r="Z153" t="e">
            <v>#N/A</v>
          </cell>
          <cell r="AA153" t="str">
            <v>Rehunting, Kand B. Marina PKS dengan IBS
Approve MCP 20m, validasi transmisi paralel IW OG</v>
          </cell>
          <cell r="AB153" t="str">
            <v>Pak Meg</v>
          </cell>
          <cell r="AC153"/>
          <cell r="AD153"/>
          <cell r="AE153"/>
          <cell r="AF153"/>
          <cell r="AG153"/>
          <cell r="AH153"/>
          <cell r="AI153"/>
          <cell r="AJ153"/>
          <cell r="AK153"/>
          <cell r="AL153"/>
          <cell r="AM153"/>
          <cell r="AN153"/>
          <cell r="AO153"/>
          <cell r="AP153"/>
        </row>
        <row r="154">
          <cell r="A154" t="str">
            <v>JAW-JK-KYB-0099</v>
          </cell>
          <cell r="B154">
            <v>30571780031</v>
          </cell>
          <cell r="C154">
            <v>1127631003</v>
          </cell>
          <cell r="D154" t="str">
            <v>JAW-JK-KYB-0099</v>
          </cell>
          <cell r="E154" t="str">
            <v>Gang Haji Joko</v>
          </cell>
          <cell r="F154">
            <v>43844</v>
          </cell>
          <cell r="G154" t="str">
            <v>JAN 2020</v>
          </cell>
          <cell r="H154">
            <v>344</v>
          </cell>
          <cell r="I154" t="str">
            <v>JABODETABEK (INNER)</v>
          </cell>
          <cell r="J154" t="str">
            <v>JAKARTA SELATAN</v>
          </cell>
          <cell r="K154" t="str">
            <v>XL</v>
          </cell>
          <cell r="L154" t="str">
            <v>-</v>
          </cell>
          <cell r="M154"/>
          <cell r="N154"/>
          <cell r="O154"/>
          <cell r="P154"/>
          <cell r="Q154"/>
          <cell r="R154" t="str">
            <v>KLS</v>
          </cell>
          <cell r="S154" t="str">
            <v>Aditya Rachaman</v>
          </cell>
          <cell r="T154">
            <v>25000000</v>
          </cell>
          <cell r="U154" t="str">
            <v>Drop by OPR</v>
          </cell>
          <cell r="V154" t="str">
            <v>Drop by OPR</v>
          </cell>
          <cell r="W154"/>
          <cell r="X154"/>
          <cell r="Y154"/>
          <cell r="Z154" t="e">
            <v>#N/A</v>
          </cell>
          <cell r="AA154" t="str">
            <v>Drop By Operator</v>
          </cell>
          <cell r="AB154" t="str">
            <v>D</v>
          </cell>
          <cell r="AC154"/>
          <cell r="AD154"/>
          <cell r="AE154"/>
          <cell r="AF154"/>
          <cell r="AG154"/>
          <cell r="AH154"/>
          <cell r="AI154"/>
          <cell r="AJ154"/>
          <cell r="AK154"/>
          <cell r="AL154"/>
          <cell r="AM154"/>
          <cell r="AN154"/>
          <cell r="AO154"/>
          <cell r="AP154"/>
        </row>
        <row r="155">
          <cell r="A155" t="str">
            <v>JAW-JK-TJP-0615</v>
          </cell>
          <cell r="B155">
            <v>30571920031</v>
          </cell>
          <cell r="C155">
            <v>1127721003</v>
          </cell>
          <cell r="D155" t="str">
            <v>JAW-JK-TJP-0615</v>
          </cell>
          <cell r="E155" t="str">
            <v>Gang Merpati Kebantenan</v>
          </cell>
          <cell r="F155">
            <v>43844</v>
          </cell>
          <cell r="G155" t="str">
            <v>JAN 2020</v>
          </cell>
          <cell r="H155">
            <v>344</v>
          </cell>
          <cell r="I155" t="str">
            <v>JABODETABEK (INNER)</v>
          </cell>
          <cell r="J155" t="str">
            <v>JAKARTA UTARA</v>
          </cell>
          <cell r="K155" t="str">
            <v>XL</v>
          </cell>
          <cell r="L155" t="str">
            <v>-</v>
          </cell>
          <cell r="M155"/>
          <cell r="N155"/>
          <cell r="O155"/>
          <cell r="P155"/>
          <cell r="Q155"/>
          <cell r="R155" t="str">
            <v>KLS</v>
          </cell>
          <cell r="S155" t="str">
            <v>Aditya Rachaman</v>
          </cell>
          <cell r="T155"/>
          <cell r="U155" t="str">
            <v>RFC</v>
          </cell>
          <cell r="V155" t="str">
            <v>12. RFC</v>
          </cell>
          <cell r="W155"/>
          <cell r="X155"/>
          <cell r="Y155"/>
          <cell r="Z155" t="e">
            <v>#N/A</v>
          </cell>
          <cell r="AA155" t="str">
            <v>RFC Done</v>
          </cell>
          <cell r="AB155" t="str">
            <v>RFC Done</v>
          </cell>
          <cell r="AC155"/>
          <cell r="AD155"/>
          <cell r="AE155"/>
          <cell r="AF155"/>
          <cell r="AG155"/>
          <cell r="AH155"/>
          <cell r="AI155"/>
          <cell r="AJ155"/>
          <cell r="AK155"/>
          <cell r="AL155"/>
          <cell r="AM155"/>
          <cell r="AN155"/>
          <cell r="AO155"/>
          <cell r="AP155" t="str">
            <v>done berubah ke mcp, update activity ketinggian 21</v>
          </cell>
        </row>
        <row r="156">
          <cell r="A156" t="str">
            <v>JAW-JK-TJP-0617</v>
          </cell>
          <cell r="B156">
            <v>30571960031</v>
          </cell>
          <cell r="C156">
            <v>1127741003</v>
          </cell>
          <cell r="D156" t="str">
            <v>JAW-JK-TJP-0617</v>
          </cell>
          <cell r="E156" t="str">
            <v>Inspeksi Sukapura</v>
          </cell>
          <cell r="F156">
            <v>43844</v>
          </cell>
          <cell r="G156" t="str">
            <v>JAN 2020</v>
          </cell>
          <cell r="H156">
            <v>344</v>
          </cell>
          <cell r="I156" t="str">
            <v>JABODETABEK (INNER)</v>
          </cell>
          <cell r="J156" t="str">
            <v>JAKARTA UTARA</v>
          </cell>
          <cell r="K156" t="str">
            <v>XL</v>
          </cell>
          <cell r="L156" t="str">
            <v>-</v>
          </cell>
          <cell r="M156"/>
          <cell r="N156"/>
          <cell r="O156"/>
          <cell r="P156"/>
          <cell r="Q156"/>
          <cell r="R156" t="str">
            <v>KLS</v>
          </cell>
          <cell r="S156" t="str">
            <v>Aditya Rachaman</v>
          </cell>
          <cell r="T156"/>
          <cell r="U156" t="str">
            <v>RFC</v>
          </cell>
          <cell r="V156" t="str">
            <v>12. RFC</v>
          </cell>
          <cell r="W156"/>
          <cell r="X156"/>
          <cell r="Y156"/>
          <cell r="Z156" t="e">
            <v>#N/A</v>
          </cell>
          <cell r="AA156" t="str">
            <v>RFC Done</v>
          </cell>
          <cell r="AB156" t="str">
            <v>RFC Done</v>
          </cell>
          <cell r="AC156"/>
          <cell r="AD156"/>
          <cell r="AE156"/>
          <cell r="AF156"/>
          <cell r="AG156"/>
          <cell r="AH156"/>
          <cell r="AI156"/>
          <cell r="AJ156"/>
          <cell r="AK156"/>
          <cell r="AL156"/>
          <cell r="AM156"/>
          <cell r="AN156"/>
          <cell r="AO156"/>
          <cell r="AP156"/>
        </row>
        <row r="157">
          <cell r="A157" t="str">
            <v>JAW-JK-KYB-0096</v>
          </cell>
          <cell r="B157">
            <v>30571750031</v>
          </cell>
          <cell r="C157">
            <v>1127601003</v>
          </cell>
          <cell r="D157" t="str">
            <v>JAW-JK-KYB-0096</v>
          </cell>
          <cell r="E157" t="str">
            <v>Jalan Garuda Mas</v>
          </cell>
          <cell r="F157">
            <v>43844</v>
          </cell>
          <cell r="G157" t="str">
            <v>JAN 2020</v>
          </cell>
          <cell r="H157">
            <v>344</v>
          </cell>
          <cell r="I157" t="str">
            <v>JABODETABEK (INNER)</v>
          </cell>
          <cell r="J157" t="str">
            <v>JAKARTA SELATAN</v>
          </cell>
          <cell r="K157" t="str">
            <v>XL</v>
          </cell>
          <cell r="L157" t="str">
            <v>-</v>
          </cell>
          <cell r="M157"/>
          <cell r="N157"/>
          <cell r="O157"/>
          <cell r="P157"/>
          <cell r="Q157"/>
          <cell r="R157" t="str">
            <v>KLS</v>
          </cell>
          <cell r="S157" t="str">
            <v>Aditya Rachaman</v>
          </cell>
          <cell r="T157"/>
          <cell r="U157" t="str">
            <v>RFC</v>
          </cell>
          <cell r="V157" t="str">
            <v>12. RFC</v>
          </cell>
          <cell r="W157"/>
          <cell r="X157"/>
          <cell r="Y157"/>
          <cell r="Z157" t="e">
            <v>#N/A</v>
          </cell>
          <cell r="AA157" t="str">
            <v>RFC Done</v>
          </cell>
          <cell r="AB157" t="str">
            <v>RFC Done</v>
          </cell>
          <cell r="AC157"/>
          <cell r="AD157"/>
          <cell r="AE157"/>
          <cell r="AF157"/>
          <cell r="AG157"/>
          <cell r="AH157" t="str">
            <v>MCP</v>
          </cell>
          <cell r="AI157" t="str">
            <v>STIP 1</v>
          </cell>
          <cell r="AJ157" t="str">
            <v>TB</v>
          </cell>
          <cell r="AK157" t="str">
            <v>F</v>
          </cell>
          <cell r="AL157" t="str">
            <v>106.84661</v>
          </cell>
          <cell r="AM157" t="str">
            <v>-6.30917</v>
          </cell>
          <cell r="AN157" t="str">
            <v>Jl. Nangka GG, H. Nawi No. 7 Kel. Tanjung Barat, Kec. Jagakarsa, Jakarta Selatan</v>
          </cell>
          <cell r="AO157" t="str">
            <v>25 m</v>
          </cell>
          <cell r="AP157" t="str">
            <v>DKI Jakarta</v>
          </cell>
        </row>
        <row r="158">
          <cell r="A158" t="str">
            <v>JAW-JK-KYB-0105</v>
          </cell>
          <cell r="B158">
            <v>30571840031</v>
          </cell>
          <cell r="C158">
            <v>1127661003</v>
          </cell>
          <cell r="D158" t="str">
            <v>JAW-JK-KYB-0105</v>
          </cell>
          <cell r="E158" t="str">
            <v>Jalan Kubur Islam</v>
          </cell>
          <cell r="F158">
            <v>43844</v>
          </cell>
          <cell r="G158" t="str">
            <v>JAN 2020</v>
          </cell>
          <cell r="H158">
            <v>344</v>
          </cell>
          <cell r="I158" t="str">
            <v>JABODETABEK (INNER)</v>
          </cell>
          <cell r="J158" t="str">
            <v>JAKARTA SELATAN</v>
          </cell>
          <cell r="K158" t="str">
            <v>XL</v>
          </cell>
          <cell r="L158" t="str">
            <v>-</v>
          </cell>
          <cell r="M158"/>
          <cell r="N158"/>
          <cell r="O158"/>
          <cell r="P158"/>
          <cell r="Q158"/>
          <cell r="R158" t="str">
            <v>KLS</v>
          </cell>
          <cell r="S158" t="str">
            <v>Aditya Rachman</v>
          </cell>
          <cell r="T158"/>
          <cell r="U158" t="str">
            <v>PRE SITAC</v>
          </cell>
          <cell r="V158" t="str">
            <v>04. Submit Validasi to Operator</v>
          </cell>
          <cell r="W158"/>
          <cell r="X158"/>
          <cell r="Y158"/>
          <cell r="Z158" t="e">
            <v>#N/A</v>
          </cell>
          <cell r="AA158"/>
          <cell r="AB158"/>
          <cell r="AC158"/>
          <cell r="AD158"/>
          <cell r="AE158"/>
          <cell r="AF158"/>
          <cell r="AG158"/>
          <cell r="AH158"/>
          <cell r="AI158"/>
          <cell r="AJ158"/>
          <cell r="AK158"/>
          <cell r="AL158"/>
          <cell r="AM158"/>
          <cell r="AN158"/>
          <cell r="AO158"/>
          <cell r="AP158"/>
        </row>
        <row r="159">
          <cell r="A159" t="str">
            <v>JAW-JK-GGP-0527</v>
          </cell>
          <cell r="B159">
            <v>30571900031</v>
          </cell>
          <cell r="C159">
            <v>1127711003</v>
          </cell>
          <cell r="D159" t="str">
            <v>JAW-JK-GGP-0527</v>
          </cell>
          <cell r="E159" t="str">
            <v>Jalan Mangga Ubi</v>
          </cell>
          <cell r="F159">
            <v>43844</v>
          </cell>
          <cell r="G159" t="str">
            <v>JAN 2020</v>
          </cell>
          <cell r="H159">
            <v>344</v>
          </cell>
          <cell r="I159" t="str">
            <v>JABODETABEK (INNER)</v>
          </cell>
          <cell r="J159" t="str">
            <v>JAKARTA BARAT</v>
          </cell>
          <cell r="K159" t="str">
            <v>XL</v>
          </cell>
          <cell r="L159" t="str">
            <v>-</v>
          </cell>
          <cell r="M159"/>
          <cell r="N159"/>
          <cell r="O159"/>
          <cell r="P159"/>
          <cell r="Q159"/>
          <cell r="R159" t="str">
            <v>KLS</v>
          </cell>
          <cell r="S159" t="str">
            <v>Aditya Rachaman</v>
          </cell>
          <cell r="T159"/>
          <cell r="U159" t="str">
            <v>RFC</v>
          </cell>
          <cell r="V159" t="str">
            <v>12. RFC</v>
          </cell>
          <cell r="W159"/>
          <cell r="X159"/>
          <cell r="Y159"/>
          <cell r="Z159" t="e">
            <v>#N/A</v>
          </cell>
          <cell r="AA159" t="str">
            <v>RFC Done</v>
          </cell>
          <cell r="AB159" t="str">
            <v>RFC Done</v>
          </cell>
          <cell r="AC159"/>
          <cell r="AD159"/>
          <cell r="AE159"/>
          <cell r="AF159"/>
          <cell r="AG159"/>
          <cell r="AH159"/>
          <cell r="AI159"/>
          <cell r="AJ159"/>
          <cell r="AK159"/>
          <cell r="AL159"/>
          <cell r="AM159"/>
          <cell r="AN159"/>
          <cell r="AO159"/>
          <cell r="AP159"/>
        </row>
        <row r="160">
          <cell r="A160" t="str">
            <v>JAW-JK-TJP-0625</v>
          </cell>
          <cell r="B160">
            <v>30572380031</v>
          </cell>
          <cell r="C160">
            <v>1127881003</v>
          </cell>
          <cell r="D160" t="str">
            <v>JAW-JK-TJP-0625</v>
          </cell>
          <cell r="E160" t="str">
            <v>Jalan Pantai Indah Selatan 2</v>
          </cell>
          <cell r="F160">
            <v>43844</v>
          </cell>
          <cell r="G160" t="str">
            <v>JAN 2020</v>
          </cell>
          <cell r="H160">
            <v>344</v>
          </cell>
          <cell r="I160" t="str">
            <v>JABODETABEK (INNER)</v>
          </cell>
          <cell r="J160" t="str">
            <v>JAKARTA UTARA</v>
          </cell>
          <cell r="K160" t="str">
            <v>XL</v>
          </cell>
          <cell r="L160" t="str">
            <v>-</v>
          </cell>
          <cell r="M160"/>
          <cell r="N160"/>
          <cell r="O160"/>
          <cell r="P160"/>
          <cell r="Q160"/>
          <cell r="R160" t="str">
            <v>KLS</v>
          </cell>
          <cell r="S160" t="str">
            <v>Aditya Rachman</v>
          </cell>
          <cell r="T160"/>
          <cell r="U160" t="str">
            <v>SITAC</v>
          </cell>
          <cell r="V160" t="str">
            <v xml:space="preserve">06. IW OG </v>
          </cell>
          <cell r="W160"/>
          <cell r="X160"/>
          <cell r="Y160"/>
          <cell r="Z160" t="e">
            <v>#N/A</v>
          </cell>
          <cell r="AA160" t="str">
            <v>Realisasi IW dan DAKOM</v>
          </cell>
          <cell r="AB160"/>
          <cell r="AC160"/>
          <cell r="AD160"/>
          <cell r="AE160"/>
          <cell r="AF160"/>
          <cell r="AG160"/>
          <cell r="AH160"/>
          <cell r="AI160"/>
          <cell r="AJ160"/>
          <cell r="AK160"/>
          <cell r="AL160"/>
          <cell r="AM160"/>
          <cell r="AN160"/>
          <cell r="AO160"/>
          <cell r="AP160"/>
        </row>
        <row r="161">
          <cell r="A161" t="str">
            <v>ZJKT2_5014</v>
          </cell>
          <cell r="B161">
            <v>230560370231</v>
          </cell>
          <cell r="C161">
            <v>1260581023</v>
          </cell>
          <cell r="D161" t="str">
            <v>JAK0589</v>
          </cell>
          <cell r="E161" t="str">
            <v>TELUKJAMBE TIMUR</v>
          </cell>
          <cell r="F161">
            <v>43829</v>
          </cell>
          <cell r="G161" t="str">
            <v>DES 2019</v>
          </cell>
          <cell r="H161">
            <v>359</v>
          </cell>
          <cell r="I161" t="str">
            <v>JABODETABEK (OUTER)</v>
          </cell>
          <cell r="J161" t="str">
            <v>KARAWANG</v>
          </cell>
          <cell r="K161" t="str">
            <v>SMARTFREN</v>
          </cell>
          <cell r="L161" t="str">
            <v>-</v>
          </cell>
          <cell r="M161"/>
          <cell r="N161"/>
          <cell r="O161"/>
          <cell r="P161"/>
          <cell r="Q161"/>
          <cell r="R161" t="str">
            <v>LBL</v>
          </cell>
          <cell r="S161" t="str">
            <v>Handri Purnama</v>
          </cell>
          <cell r="T161"/>
          <cell r="U161" t="str">
            <v>SITAC</v>
          </cell>
          <cell r="V161" t="str">
            <v>08. Realisasi sitac</v>
          </cell>
          <cell r="W161"/>
          <cell r="X161"/>
          <cell r="Y161"/>
          <cell r="Z161" t="e">
            <v>#N/A</v>
          </cell>
          <cell r="AA161" t="str">
            <v>Eskalasi Approved, proses realisasi ban dan iw
Kand C, BAN 20jt, IW clear, eskalasi done submit</v>
          </cell>
          <cell r="AB161" t="str">
            <v>Eskalasi Approved Realisasi IW</v>
          </cell>
          <cell r="AC161" t="str">
            <v>-</v>
          </cell>
          <cell r="AD161" t="str">
            <v>2 Maret 2020</v>
          </cell>
          <cell r="AE161"/>
          <cell r="AF161"/>
          <cell r="AG161"/>
          <cell r="AH161" t="str">
            <v>NEW BUILD</v>
          </cell>
          <cell r="AI161" t="str">
            <v>STIP 1</v>
          </cell>
          <cell r="AJ161" t="str">
            <v>TB</v>
          </cell>
          <cell r="AK161" t="str">
            <v>D</v>
          </cell>
          <cell r="AL161" t="str">
            <v>107.291</v>
          </cell>
          <cell r="AM161">
            <v>-6.3369</v>
          </cell>
          <cell r="AN161" t="str">
            <v>Jl. Sukaluyu RT. 01 RW. 01 Sukaluyu Teluk Jambe Timur</v>
          </cell>
          <cell r="AO161" t="str">
            <v>42 m</v>
          </cell>
          <cell r="AP161" t="str">
            <v>JAWA BARAT</v>
          </cell>
        </row>
        <row r="162">
          <cell r="A162" t="str">
            <v>JAW-JK-KYB-0110</v>
          </cell>
          <cell r="B162">
            <v>30573440031</v>
          </cell>
          <cell r="C162">
            <v>1127911003</v>
          </cell>
          <cell r="D162" t="str">
            <v>JAW-JK-KYB-0110</v>
          </cell>
          <cell r="E162" t="str">
            <v>Jalan Purnawarman</v>
          </cell>
          <cell r="F162">
            <v>43846</v>
          </cell>
          <cell r="G162" t="str">
            <v>JAN 2020</v>
          </cell>
          <cell r="H162">
            <v>342</v>
          </cell>
          <cell r="I162" t="str">
            <v>JABODETABEK (INNER)</v>
          </cell>
          <cell r="J162" t="str">
            <v>JAKARTA SELATAN</v>
          </cell>
          <cell r="K162" t="str">
            <v>XL</v>
          </cell>
          <cell r="L162" t="e">
            <v>#N/A</v>
          </cell>
          <cell r="M162"/>
          <cell r="N162"/>
          <cell r="O162"/>
          <cell r="P162"/>
          <cell r="Q162"/>
          <cell r="R162" t="str">
            <v>KLS</v>
          </cell>
          <cell r="S162" t="str">
            <v>Aditya Rachaman</v>
          </cell>
          <cell r="T162"/>
          <cell r="U162" t="str">
            <v>RFC</v>
          </cell>
          <cell r="V162" t="str">
            <v>12. RFC</v>
          </cell>
          <cell r="W162"/>
          <cell r="X162"/>
          <cell r="Y162"/>
          <cell r="Z162" t="e">
            <v>#N/A</v>
          </cell>
          <cell r="AA162" t="str">
            <v>RFC done</v>
          </cell>
          <cell r="AB162" t="str">
            <v>RFC done</v>
          </cell>
          <cell r="AC162"/>
          <cell r="AD162"/>
          <cell r="AE162"/>
          <cell r="AF162"/>
          <cell r="AG162"/>
          <cell r="AH162"/>
          <cell r="AI162"/>
          <cell r="AJ162"/>
          <cell r="AK162"/>
          <cell r="AL162"/>
          <cell r="AM162"/>
          <cell r="AN162"/>
          <cell r="AO162"/>
          <cell r="AP162" t="str">
            <v>done berubah ke mcp, update activity ketinggian 21</v>
          </cell>
        </row>
        <row r="163">
          <cell r="A163" t="str">
            <v>JAW-JK-KYB-0107</v>
          </cell>
          <cell r="B163">
            <v>30572330031</v>
          </cell>
          <cell r="C163">
            <v>1127841003</v>
          </cell>
          <cell r="D163" t="str">
            <v>JAW-JK-KYB-0107</v>
          </cell>
          <cell r="E163" t="str">
            <v>Kenanga Terusan Pasming</v>
          </cell>
          <cell r="F163">
            <v>43844</v>
          </cell>
          <cell r="G163" t="str">
            <v>JAN 2020</v>
          </cell>
          <cell r="H163">
            <v>344</v>
          </cell>
          <cell r="I163" t="str">
            <v>JABODETABEK (INNER)</v>
          </cell>
          <cell r="J163" t="str">
            <v>JAKARTA SELATAN</v>
          </cell>
          <cell r="K163" t="str">
            <v>XL</v>
          </cell>
          <cell r="L163" t="str">
            <v>-</v>
          </cell>
          <cell r="M163"/>
          <cell r="N163"/>
          <cell r="O163"/>
          <cell r="P163"/>
          <cell r="Q163"/>
          <cell r="R163" t="str">
            <v>KLS</v>
          </cell>
          <cell r="S163" t="str">
            <v>Aditya Rachaman</v>
          </cell>
          <cell r="T163"/>
          <cell r="U163" t="str">
            <v>RFC</v>
          </cell>
          <cell r="V163" t="str">
            <v>12. RFC</v>
          </cell>
          <cell r="W163"/>
          <cell r="X163"/>
          <cell r="Y163"/>
          <cell r="Z163" t="e">
            <v>#N/A</v>
          </cell>
          <cell r="AA163" t="str">
            <v>RFC done</v>
          </cell>
          <cell r="AB163" t="str">
            <v>RFC done</v>
          </cell>
          <cell r="AC163"/>
          <cell r="AD163"/>
          <cell r="AE163"/>
          <cell r="AF163"/>
          <cell r="AG163"/>
          <cell r="AH163"/>
          <cell r="AI163"/>
          <cell r="AJ163"/>
          <cell r="AK163"/>
          <cell r="AL163"/>
          <cell r="AM163"/>
          <cell r="AN163"/>
          <cell r="AO163"/>
          <cell r="AP163" t="str">
            <v>done berubah ke mcp, update activity ketinggian 21</v>
          </cell>
        </row>
        <row r="164">
          <cell r="A164" t="str">
            <v>JAW-JK-CKG-0667</v>
          </cell>
          <cell r="B164">
            <v>30572270031</v>
          </cell>
          <cell r="C164">
            <v>1127811003</v>
          </cell>
          <cell r="D164" t="str">
            <v>JAW-JK-CKG-0667</v>
          </cell>
          <cell r="E164" t="str">
            <v>Kesatrian Kebon Manggis</v>
          </cell>
          <cell r="F164">
            <v>43844</v>
          </cell>
          <cell r="G164" t="str">
            <v>JAN 2020</v>
          </cell>
          <cell r="H164">
            <v>344</v>
          </cell>
          <cell r="I164" t="str">
            <v>JABODETABEK (INNER)</v>
          </cell>
          <cell r="J164" t="str">
            <v>JAKARTA TIMUR</v>
          </cell>
          <cell r="K164" t="str">
            <v>XL</v>
          </cell>
          <cell r="L164" t="str">
            <v>-</v>
          </cell>
          <cell r="M164"/>
          <cell r="N164"/>
          <cell r="O164"/>
          <cell r="P164"/>
          <cell r="Q164"/>
          <cell r="R164" t="str">
            <v>KLS</v>
          </cell>
          <cell r="S164" t="str">
            <v>Aditya Rachaman</v>
          </cell>
          <cell r="T164"/>
          <cell r="U164" t="str">
            <v>RFC</v>
          </cell>
          <cell r="V164" t="str">
            <v>12. RFC</v>
          </cell>
          <cell r="W164"/>
          <cell r="X164"/>
          <cell r="Y164"/>
          <cell r="Z164" t="e">
            <v>#N/A</v>
          </cell>
          <cell r="AA164" t="str">
            <v>RFC done</v>
          </cell>
          <cell r="AB164" t="str">
            <v>RFC done</v>
          </cell>
          <cell r="AC164"/>
          <cell r="AD164"/>
          <cell r="AE164"/>
          <cell r="AF164"/>
          <cell r="AG164"/>
          <cell r="AH164"/>
          <cell r="AI164"/>
          <cell r="AJ164"/>
          <cell r="AK164"/>
          <cell r="AL164"/>
          <cell r="AM164"/>
          <cell r="AN164"/>
          <cell r="AO164"/>
          <cell r="AP164"/>
        </row>
        <row r="165">
          <cell r="A165" t="str">
            <v>JAW-JK-CKG-0665</v>
          </cell>
          <cell r="B165">
            <v>30571850031</v>
          </cell>
          <cell r="C165">
            <v>1127671003</v>
          </cell>
          <cell r="D165" t="str">
            <v>JAW-JK-CKG-0665</v>
          </cell>
          <cell r="E165" t="str">
            <v>Krama Yudha Cakung</v>
          </cell>
          <cell r="F165">
            <v>43844</v>
          </cell>
          <cell r="G165" t="str">
            <v>JAN 2020</v>
          </cell>
          <cell r="H165">
            <v>344</v>
          </cell>
          <cell r="I165" t="str">
            <v>JABODETABEK (INNER)</v>
          </cell>
          <cell r="J165" t="str">
            <v>JAKARTA TIMUR</v>
          </cell>
          <cell r="K165" t="str">
            <v>XL</v>
          </cell>
          <cell r="L165" t="str">
            <v>-</v>
          </cell>
          <cell r="M165"/>
          <cell r="N165"/>
          <cell r="O165"/>
          <cell r="P165"/>
          <cell r="Q165"/>
          <cell r="R165" t="str">
            <v>KLS</v>
          </cell>
          <cell r="S165" t="str">
            <v>Aditya Rachaman</v>
          </cell>
          <cell r="T165"/>
          <cell r="U165" t="str">
            <v>RFC</v>
          </cell>
          <cell r="V165" t="str">
            <v>12. RFC</v>
          </cell>
          <cell r="W165"/>
          <cell r="X165"/>
          <cell r="Y165"/>
          <cell r="Z165" t="e">
            <v>#N/A</v>
          </cell>
          <cell r="AA165" t="str">
            <v>RFC Done</v>
          </cell>
          <cell r="AB165" t="str">
            <v>RFC Done</v>
          </cell>
          <cell r="AC165"/>
          <cell r="AD165"/>
          <cell r="AE165"/>
          <cell r="AF165"/>
          <cell r="AG165"/>
          <cell r="AH165" t="str">
            <v>MCP</v>
          </cell>
          <cell r="AI165" t="str">
            <v>STIP 1</v>
          </cell>
          <cell r="AJ165" t="str">
            <v>TB</v>
          </cell>
          <cell r="AK165" t="str">
            <v>C</v>
          </cell>
          <cell r="AL165" t="str">
            <v xml:space="preserve">106.92233 </v>
          </cell>
          <cell r="AM165" t="str">
            <v xml:space="preserve">-6.17911 </v>
          </cell>
          <cell r="AN165" t="str">
            <v>Jl. Krama Yudha RT. 06 RW. 05 Kel. Rawa Terate Kec. Cakung, Jakarta Timur</v>
          </cell>
          <cell r="AO165" t="str">
            <v>20m</v>
          </cell>
          <cell r="AP165" t="str">
            <v>DKI JAKARTA</v>
          </cell>
        </row>
        <row r="166">
          <cell r="A166" t="str">
            <v>JAW-JK-KYB-0102</v>
          </cell>
          <cell r="B166">
            <v>30571790031</v>
          </cell>
          <cell r="C166">
            <v>1127641003</v>
          </cell>
          <cell r="D166" t="str">
            <v>JAW-JK-KYB-0102</v>
          </cell>
          <cell r="E166" t="str">
            <v>Menteng Lenteng Agung</v>
          </cell>
          <cell r="F166">
            <v>43844</v>
          </cell>
          <cell r="G166" t="str">
            <v>JAN 2020</v>
          </cell>
          <cell r="H166">
            <v>344</v>
          </cell>
          <cell r="I166" t="str">
            <v>JABODETABEK (INNER)</v>
          </cell>
          <cell r="J166" t="str">
            <v>JAKARTA SELATAN</v>
          </cell>
          <cell r="K166" t="str">
            <v>XL</v>
          </cell>
          <cell r="L166" t="str">
            <v>-</v>
          </cell>
          <cell r="M166"/>
          <cell r="N166"/>
          <cell r="O166"/>
          <cell r="P166"/>
          <cell r="Q166"/>
          <cell r="R166" t="str">
            <v>KLS</v>
          </cell>
          <cell r="S166" t="str">
            <v>Aditya Rachaman</v>
          </cell>
          <cell r="T166"/>
          <cell r="U166" t="str">
            <v>RFC</v>
          </cell>
          <cell r="V166" t="str">
            <v>12. RFC</v>
          </cell>
          <cell r="W166"/>
          <cell r="X166"/>
          <cell r="Y166"/>
          <cell r="Z166" t="e">
            <v>#N/A</v>
          </cell>
          <cell r="AA166" t="str">
            <v>RFC Done</v>
          </cell>
          <cell r="AB166" t="str">
            <v>RFC Done</v>
          </cell>
          <cell r="AC166"/>
          <cell r="AD166"/>
          <cell r="AE166"/>
          <cell r="AF166"/>
          <cell r="AG166"/>
          <cell r="AH166" t="str">
            <v>MCP</v>
          </cell>
          <cell r="AI166" t="str">
            <v>STIP 1</v>
          </cell>
          <cell r="AJ166" t="str">
            <v>TB</v>
          </cell>
          <cell r="AK166" t="str">
            <v>B</v>
          </cell>
          <cell r="AL166" t="str">
            <v>106.83049</v>
          </cell>
          <cell r="AM166" t="str">
            <v>-6.32869</v>
          </cell>
          <cell r="AN166" t="str">
            <v>Jalan Kelapa Tiga No. 3 RT. 4 RW. 06 Kel. Lenteng Agung Kec. Jagakarsa,  Jakarta Selatan</v>
          </cell>
          <cell r="AO166" t="str">
            <v>20 m</v>
          </cell>
          <cell r="AP166" t="str">
            <v>DKI JAKARTA</v>
          </cell>
        </row>
        <row r="167">
          <cell r="A167" t="str">
            <v>JAW-JK-TJP-0627</v>
          </cell>
          <cell r="B167">
            <v>30572060031</v>
          </cell>
          <cell r="C167">
            <v>1127781003</v>
          </cell>
          <cell r="D167" t="str">
            <v>JAW-JK-TJP-0627</v>
          </cell>
          <cell r="E167" t="str">
            <v>Pademangan Tanjung Priok</v>
          </cell>
          <cell r="F167">
            <v>43844</v>
          </cell>
          <cell r="G167" t="str">
            <v>JAN 2020</v>
          </cell>
          <cell r="H167">
            <v>344</v>
          </cell>
          <cell r="I167" t="str">
            <v>JABODETABEK (INNER)</v>
          </cell>
          <cell r="J167" t="str">
            <v>JAKARTA UTARA</v>
          </cell>
          <cell r="K167" t="str">
            <v>XL</v>
          </cell>
          <cell r="L167" t="str">
            <v>-</v>
          </cell>
          <cell r="M167"/>
          <cell r="N167"/>
          <cell r="O167"/>
          <cell r="P167"/>
          <cell r="Q167"/>
          <cell r="R167" t="str">
            <v>KLS</v>
          </cell>
          <cell r="S167" t="str">
            <v>Aditya Rachman</v>
          </cell>
          <cell r="T167"/>
          <cell r="U167" t="str">
            <v>PRE SITAC</v>
          </cell>
          <cell r="V167" t="str">
            <v>02. Rehunting</v>
          </cell>
          <cell r="W167"/>
          <cell r="X167"/>
          <cell r="Y167"/>
          <cell r="Z167" t="e">
            <v>#N/A</v>
          </cell>
          <cell r="AA167"/>
          <cell r="AB167" t="str">
            <v>Follow Up Pak Fadil</v>
          </cell>
          <cell r="AC167"/>
          <cell r="AD167"/>
          <cell r="AE167"/>
          <cell r="AF167"/>
          <cell r="AG167"/>
          <cell r="AH167"/>
          <cell r="AI167"/>
          <cell r="AJ167"/>
          <cell r="AK167"/>
          <cell r="AL167"/>
          <cell r="AM167"/>
          <cell r="AN167"/>
          <cell r="AO167"/>
          <cell r="AP167"/>
        </row>
        <row r="168">
          <cell r="A168" t="str">
            <v>JAK1028</v>
          </cell>
          <cell r="B168">
            <v>23054864231</v>
          </cell>
          <cell r="C168">
            <v>131699123</v>
          </cell>
          <cell r="D168" t="str">
            <v>JAK1028</v>
          </cell>
          <cell r="E168" t="str">
            <v>KELAPA DUA TANGERANG</v>
          </cell>
          <cell r="F168">
            <v>43710</v>
          </cell>
          <cell r="G168" t="str">
            <v>SEPT 2019</v>
          </cell>
          <cell r="H168">
            <v>478</v>
          </cell>
          <cell r="I168" t="str">
            <v>JABODETABEK (OUTER)</v>
          </cell>
          <cell r="J168" t="str">
            <v>TANGERANG</v>
          </cell>
          <cell r="K168" t="str">
            <v>SMARTFREN</v>
          </cell>
          <cell r="L168" t="str">
            <v>-</v>
          </cell>
          <cell r="M168"/>
          <cell r="N168">
            <v>-6.2390309999999998</v>
          </cell>
          <cell r="O168">
            <v>-6.2390309999999998</v>
          </cell>
          <cell r="P168">
            <v>106.624666</v>
          </cell>
          <cell r="Q168">
            <v>106.624666</v>
          </cell>
          <cell r="R168" t="str">
            <v>NY MITRA</v>
          </cell>
          <cell r="S168" t="str">
            <v>Handri Purnama</v>
          </cell>
          <cell r="T168"/>
          <cell r="U168" t="str">
            <v>PRE SITAC</v>
          </cell>
          <cell r="V168" t="str">
            <v>02. Rehunting</v>
          </cell>
          <cell r="W168"/>
          <cell r="X168"/>
          <cell r="Y168"/>
          <cell r="Z168" t="e">
            <v>#N/A</v>
          </cell>
          <cell r="AA168" t="str">
            <v>06.03 : TAKE OVER dari MIT
Kand B OK BAN 40jt.thn, paralel rehunting</v>
          </cell>
          <cell r="AB168" t="str">
            <v>Direct nego mas Adit, buat BA dan makesure IW Clear</v>
          </cell>
          <cell r="AC168" t="str">
            <v>-</v>
          </cell>
          <cell r="AD168" t="str">
            <v>-</v>
          </cell>
          <cell r="AE168" t="str">
            <v xml:space="preserve">28.11.19 : makesure harga BAN kandidat G
25.11.19 : harga BAN 150jt/thn, rehunting
18.11.19 : kandidat F OK, IW OG
14.11.19 : submit kandidat F
11.11.19 : rehunting kandidat F
06.11.19 : kandidat E NOK
04.11.19 : submit kandidat E
25.10.19 : still rehunting kandidat E
18.10.19 : kandidat D NOK, rehunting
15.10.19 : submit kandidat D
06.10.19 : failed IW, rehunitng kandidat D
01.10.19 : kandidat C OK, BAN 20jt/thn, IW on going
26.09.19 : submit kandidat B dan C with JR
18.09.19 : submit kembali kandidat A, masih NOK
11.09.19 : rehunting
09.09.19 : rehunting. Arahan 1 LL tidak bersedia disewa, arahan 3 lahan fasum fasos pemda
05.09.19 : rehunting
04.09.19 : submit kandidat A, kandidat reject oleh Pak Parlin
</v>
          </cell>
          <cell r="AF168"/>
          <cell r="AG168"/>
          <cell r="AH168"/>
          <cell r="AI168"/>
          <cell r="AJ168"/>
          <cell r="AK168"/>
          <cell r="AL168"/>
          <cell r="AM168"/>
          <cell r="AN168"/>
          <cell r="AO168"/>
          <cell r="AP168"/>
        </row>
        <row r="169">
          <cell r="A169" t="str">
            <v>BOG0140</v>
          </cell>
          <cell r="B169">
            <v>23054781231</v>
          </cell>
          <cell r="C169">
            <v>125927123</v>
          </cell>
          <cell r="D169" t="str">
            <v>BOG0140</v>
          </cell>
          <cell r="E169" t="str">
            <v>BOJONG GEDE BOGOR</v>
          </cell>
          <cell r="F169">
            <v>43710</v>
          </cell>
          <cell r="G169" t="str">
            <v>SEPT 2019</v>
          </cell>
          <cell r="H169">
            <v>478</v>
          </cell>
          <cell r="I169" t="str">
            <v>JABODETABEK (OUTER)</v>
          </cell>
          <cell r="J169" t="str">
            <v>BOGOR</v>
          </cell>
          <cell r="K169" t="str">
            <v>SMARTFREN</v>
          </cell>
          <cell r="L169" t="str">
            <v>-</v>
          </cell>
          <cell r="M169"/>
          <cell r="N169">
            <v>-6.4968180000000002</v>
          </cell>
          <cell r="O169"/>
          <cell r="P169">
            <v>106.789574</v>
          </cell>
          <cell r="Q169"/>
          <cell r="R169" t="str">
            <v>Orlie</v>
          </cell>
          <cell r="S169" t="str">
            <v>Handri Purnama</v>
          </cell>
          <cell r="T169"/>
          <cell r="U169" t="str">
            <v>SITAC</v>
          </cell>
          <cell r="V169" t="str">
            <v>08. Realisasi sitac</v>
          </cell>
          <cell r="W169"/>
          <cell r="X169" t="str">
            <v>W2 Mart</v>
          </cell>
          <cell r="Y169"/>
          <cell r="Z169" t="e">
            <v>#N/A</v>
          </cell>
          <cell r="AA169" t="str">
            <v>Realisasi Sitac
BAN 25jt, IW clear, penyusunan eskalasi</v>
          </cell>
          <cell r="AB169" t="str">
            <v>Approved eskalasi sitac</v>
          </cell>
          <cell r="AC169" t="str">
            <v>24 Februari 2020</v>
          </cell>
          <cell r="AD169" t="str">
            <v>10 Maret 2020</v>
          </cell>
          <cell r="AE169" t="str">
            <v xml:space="preserve">28.11.19 : rehunting, take over mitra
12.11.19 : gagal IW kandidat F, rehunting kand G
11.11.19 : IW OG kandidat F
06.11.19 : kandidat F OK
04.11.19 : submit kandidat F
24.10.19 : failed IW, rehunting kandidat F
18.10.19 : still IW on going kandidat E, warga susah untuk dikumpulkan 
01.10.19 : kandidat E OK, BAN OG
26.09.19 : kandidat D NOK, submit kandidat E
24.09.19 : submit kandidat D
18.09.19 : Kandidat A gagal IW, submit kandidat B dan C, kandidat B OK
10.09.19 : terdapat 5 ahli waris, 3 ahli waris sudah menyetujui harga sewa 15jt/thn dengan skema 2+3+5+5+5. menunggu keputusan 2 ahli waris
09.09.19 : waiitng keputusan keluarga untuk harga sewa lahan
05.09.19 : approve TNP oleh Pak Olly 
04.09.19 : approve RNP oleh Pak Parlin
</v>
          </cell>
          <cell r="AF169" t="str">
            <v>Visit kandidat Pak yadi, propose penurunan ketinggian menjadi 25m</v>
          </cell>
          <cell r="AG169"/>
          <cell r="AH169" t="str">
            <v>NEW BUILD</v>
          </cell>
          <cell r="AI169" t="str">
            <v>STIP 1</v>
          </cell>
          <cell r="AJ169" t="str">
            <v>TB</v>
          </cell>
          <cell r="AK169" t="str">
            <v>H</v>
          </cell>
          <cell r="AL169" t="str">
            <v>106.79063</v>
          </cell>
          <cell r="AM169" t="str">
            <v>-6.49870</v>
          </cell>
          <cell r="AN169" t="str">
            <v>KP.Lio RT 002 RW 003 desa kedung waringin kecamatan Bojonggede kabupaten Bogor provinsi Jawa Barat</v>
          </cell>
          <cell r="AO169" t="str">
            <v>42 m</v>
          </cell>
          <cell r="AP169" t="str">
            <v>JAWA BARAT</v>
          </cell>
        </row>
        <row r="170">
          <cell r="A170" t="str">
            <v>Point 204</v>
          </cell>
          <cell r="B170">
            <v>23055097231</v>
          </cell>
          <cell r="C170">
            <v>112685123</v>
          </cell>
          <cell r="D170" t="str">
            <v>Point 204</v>
          </cell>
          <cell r="E170" t="str">
            <v>TAMBORA JAKBAR</v>
          </cell>
          <cell r="F170">
            <v>43749</v>
          </cell>
          <cell r="G170" t="str">
            <v>OKT 2019</v>
          </cell>
          <cell r="H170">
            <v>439</v>
          </cell>
          <cell r="I170" t="str">
            <v>JABODETABEK (INNER)</v>
          </cell>
          <cell r="J170" t="str">
            <v>JAKARTA BARAT</v>
          </cell>
          <cell r="K170" t="str">
            <v>SMARTFREN</v>
          </cell>
          <cell r="L170" t="str">
            <v>-</v>
          </cell>
          <cell r="M170"/>
          <cell r="N170"/>
          <cell r="O170"/>
          <cell r="P170"/>
          <cell r="Q170"/>
          <cell r="R170" t="str">
            <v>KLS</v>
          </cell>
          <cell r="S170" t="str">
            <v>Aditya Rachaman</v>
          </cell>
          <cell r="T170"/>
          <cell r="U170" t="str">
            <v>RFC</v>
          </cell>
          <cell r="V170" t="str">
            <v>12. RFC</v>
          </cell>
          <cell r="W170"/>
          <cell r="X170"/>
          <cell r="Y170"/>
          <cell r="Z170" t="e">
            <v>#N/A</v>
          </cell>
          <cell r="AA170" t="str">
            <v>RFC Done</v>
          </cell>
          <cell r="AB170" t="str">
            <v>RFC Done</v>
          </cell>
          <cell r="AC170"/>
          <cell r="AD170"/>
          <cell r="AE170" t="str">
            <v>28.11.19 : rehunting 
11.11.19 : rehunting 
04.11.19 : rehunting kandidat B
25.10.19 : still rehunting kandidat B
18.10.19 : rehunting arahan 
15.10.19 : kandidat A NOK, rehunting arahan
11.10.19 : submit kandidat A</v>
          </cell>
          <cell r="AF170"/>
          <cell r="AG170"/>
          <cell r="AH170"/>
          <cell r="AI170"/>
          <cell r="AJ170"/>
          <cell r="AK170"/>
          <cell r="AL170"/>
          <cell r="AM170"/>
          <cell r="AN170"/>
          <cell r="AO170"/>
          <cell r="AP170"/>
        </row>
        <row r="171">
          <cell r="A171" t="str">
            <v>JAW-JK-CKG-0155</v>
          </cell>
          <cell r="B171">
            <v>30571880031</v>
          </cell>
          <cell r="C171">
            <v>1127701003</v>
          </cell>
          <cell r="D171" t="str">
            <v>JAW-JK-CKG-0155</v>
          </cell>
          <cell r="E171" t="str">
            <v>Pulo Buaran Jatinegara</v>
          </cell>
          <cell r="F171">
            <v>43844</v>
          </cell>
          <cell r="G171" t="str">
            <v>JAN 2020</v>
          </cell>
          <cell r="H171">
            <v>344</v>
          </cell>
          <cell r="I171" t="str">
            <v>JABODETABEK (INNER)</v>
          </cell>
          <cell r="J171" t="str">
            <v>JAKARTA TIMUR</v>
          </cell>
          <cell r="K171" t="str">
            <v>XL</v>
          </cell>
          <cell r="L171" t="str">
            <v>-</v>
          </cell>
          <cell r="M171"/>
          <cell r="N171"/>
          <cell r="O171"/>
          <cell r="P171"/>
          <cell r="Q171"/>
          <cell r="R171" t="str">
            <v>KLS</v>
          </cell>
          <cell r="S171" t="str">
            <v>Aditya Rachaman</v>
          </cell>
          <cell r="T171"/>
          <cell r="U171" t="str">
            <v>RFC</v>
          </cell>
          <cell r="V171" t="str">
            <v>12. RFC</v>
          </cell>
          <cell r="W171"/>
          <cell r="X171"/>
          <cell r="Y171"/>
          <cell r="Z171" t="e">
            <v>#N/A</v>
          </cell>
          <cell r="AA171" t="str">
            <v>RFC Done</v>
          </cell>
          <cell r="AB171" t="str">
            <v>RFC Done</v>
          </cell>
          <cell r="AC171"/>
          <cell r="AD171"/>
          <cell r="AE171"/>
          <cell r="AF171"/>
          <cell r="AG171"/>
          <cell r="AH171"/>
          <cell r="AI171"/>
          <cell r="AJ171"/>
          <cell r="AK171"/>
          <cell r="AL171"/>
          <cell r="AM171"/>
          <cell r="AN171"/>
          <cell r="AO171"/>
          <cell r="AP171"/>
        </row>
        <row r="172">
          <cell r="A172" t="str">
            <v>ZJKT2_4388</v>
          </cell>
          <cell r="B172">
            <v>230560300231</v>
          </cell>
          <cell r="C172">
            <v>1317291023</v>
          </cell>
          <cell r="D172" t="str">
            <v>JAK0879</v>
          </cell>
          <cell r="E172" t="str">
            <v>PAMULANG TANGERANG SELATAN</v>
          </cell>
          <cell r="F172">
            <v>43829</v>
          </cell>
          <cell r="G172" t="str">
            <v>DES 2019</v>
          </cell>
          <cell r="H172">
            <v>359</v>
          </cell>
          <cell r="I172" t="str">
            <v>JABODETABEK (OUTER)</v>
          </cell>
          <cell r="J172" t="str">
            <v>TANGERANG SELATAN</v>
          </cell>
          <cell r="K172" t="str">
            <v>SMARTFREN</v>
          </cell>
          <cell r="L172" t="str">
            <v>-</v>
          </cell>
          <cell r="M172"/>
          <cell r="N172"/>
          <cell r="O172"/>
          <cell r="P172"/>
          <cell r="Q172"/>
          <cell r="R172" t="str">
            <v>Turangga</v>
          </cell>
          <cell r="S172" t="str">
            <v>Aditya Rachaman</v>
          </cell>
          <cell r="T172"/>
          <cell r="U172" t="str">
            <v>SITAC</v>
          </cell>
          <cell r="V172" t="str">
            <v xml:space="preserve">06. IW OG </v>
          </cell>
          <cell r="W172"/>
          <cell r="X172"/>
          <cell r="Y172"/>
          <cell r="Z172" t="e">
            <v>#N/A</v>
          </cell>
          <cell r="AA172" t="str">
            <v>BAN 17jt, IW clear, eskalasi done submit</v>
          </cell>
          <cell r="AB172" t="str">
            <v>Waiting approval eskalasi, ( sf req 30, ajukan 20m)</v>
          </cell>
          <cell r="AC172" t="str">
            <v>-</v>
          </cell>
          <cell r="AD172" t="str">
            <v>6 Maret 2020</v>
          </cell>
          <cell r="AE172"/>
          <cell r="AF172"/>
          <cell r="AG172"/>
          <cell r="AH172"/>
          <cell r="AI172"/>
          <cell r="AJ172"/>
          <cell r="AK172"/>
          <cell r="AL172"/>
          <cell r="AM172"/>
          <cell r="AN172"/>
          <cell r="AO172"/>
          <cell r="AP172"/>
        </row>
        <row r="173">
          <cell r="A173" t="str">
            <v>03BKS499</v>
          </cell>
          <cell r="B173">
            <v>4054934041</v>
          </cell>
          <cell r="C173">
            <v>125959104</v>
          </cell>
          <cell r="D173" t="str">
            <v>03BKS499</v>
          </cell>
          <cell r="E173" t="str">
            <v>JLJAWASATU</v>
          </cell>
          <cell r="F173">
            <v>43724</v>
          </cell>
          <cell r="G173" t="str">
            <v>SEPT 2019</v>
          </cell>
          <cell r="H173">
            <v>464</v>
          </cell>
          <cell r="I173" t="str">
            <v>JABODETABEK (OUTER)</v>
          </cell>
          <cell r="J173" t="str">
            <v>KOTA BEKASI</v>
          </cell>
          <cell r="K173" t="str">
            <v>ISAT</v>
          </cell>
          <cell r="L173" t="str">
            <v>-</v>
          </cell>
          <cell r="M173" t="str">
            <v>B</v>
          </cell>
          <cell r="N173"/>
          <cell r="O173"/>
          <cell r="P173"/>
          <cell r="Q173"/>
          <cell r="R173" t="str">
            <v>DSR / SS</v>
          </cell>
          <cell r="S173" t="str">
            <v>Aditya Rachaman</v>
          </cell>
          <cell r="T173"/>
          <cell r="U173" t="str">
            <v>SITAC</v>
          </cell>
          <cell r="V173" t="str">
            <v>12. RFC</v>
          </cell>
          <cell r="W173"/>
          <cell r="X173"/>
          <cell r="Y173"/>
          <cell r="Z173" t="e">
            <v>#N/A</v>
          </cell>
          <cell r="AA173" t="str">
            <v>Realisasi Sitac
kandidat B DSR OK, BAN 20jt, IW clear,eskalasi done submit</v>
          </cell>
          <cell r="AB173" t="str">
            <v>UPDATE SYSTEM TSSR, DP</v>
          </cell>
          <cell r="AC173" t="str">
            <v>-</v>
          </cell>
          <cell r="AD173" t="str">
            <v>11 Maret 2020</v>
          </cell>
          <cell r="AE173" t="str">
            <v>BAN 30jt</v>
          </cell>
          <cell r="AF173"/>
          <cell r="AG173"/>
          <cell r="AH173"/>
          <cell r="AI173"/>
          <cell r="AJ173"/>
          <cell r="AK173"/>
          <cell r="AL173"/>
          <cell r="AM173"/>
          <cell r="AN173"/>
          <cell r="AO173"/>
          <cell r="AP173"/>
        </row>
        <row r="174">
          <cell r="A174" t="str">
            <v>JAW-JB-CBI-0082</v>
          </cell>
          <cell r="B174">
            <v>30572360031</v>
          </cell>
          <cell r="C174">
            <v>1260951003</v>
          </cell>
          <cell r="D174" t="str">
            <v>JAW-JB-CBI-0082</v>
          </cell>
          <cell r="E174" t="str">
            <v>Pengasinan Gunung Sindur</v>
          </cell>
          <cell r="F174">
            <v>43844</v>
          </cell>
          <cell r="G174" t="str">
            <v>JAN 2020</v>
          </cell>
          <cell r="H174">
            <v>344</v>
          </cell>
          <cell r="I174" t="str">
            <v>JABODETABEK (OUTER)</v>
          </cell>
          <cell r="J174" t="str">
            <v>BOGOR</v>
          </cell>
          <cell r="K174" t="str">
            <v>XL</v>
          </cell>
          <cell r="L174" t="str">
            <v>-</v>
          </cell>
          <cell r="M174"/>
          <cell r="N174"/>
          <cell r="O174"/>
          <cell r="P174"/>
          <cell r="Q174"/>
          <cell r="R174" t="str">
            <v>DSR</v>
          </cell>
          <cell r="S174" t="str">
            <v>Aditya Rachaman</v>
          </cell>
          <cell r="T174"/>
          <cell r="U174" t="str">
            <v>RFC</v>
          </cell>
          <cell r="V174" t="str">
            <v>12. RFC</v>
          </cell>
          <cell r="W174"/>
          <cell r="X174"/>
          <cell r="Y174"/>
          <cell r="Z174" t="e">
            <v>#N/A</v>
          </cell>
          <cell r="AA174" t="str">
            <v>RFC Done</v>
          </cell>
          <cell r="AB174" t="str">
            <v>RFC Done</v>
          </cell>
          <cell r="AC174" t="str">
            <v>-</v>
          </cell>
          <cell r="AD174" t="str">
            <v>11 Maret 2020</v>
          </cell>
          <cell r="AE174"/>
          <cell r="AF174"/>
          <cell r="AG174"/>
          <cell r="AH174" t="str">
            <v>NEW BUILD</v>
          </cell>
          <cell r="AI174" t="str">
            <v>STIP 1</v>
          </cell>
          <cell r="AJ174" t="str">
            <v>TB</v>
          </cell>
          <cell r="AK174" t="str">
            <v>C</v>
          </cell>
          <cell r="AL174">
            <v>106.69251</v>
          </cell>
          <cell r="AM174">
            <v>-6.3766299999999996</v>
          </cell>
          <cell r="AN174" t="str">
            <v>Kp Kebon Kopi RT. 05 RW. 06 Kel. Pengasinan Kec. Gunung Sindur, Kab. Bogor</v>
          </cell>
          <cell r="AO174" t="str">
            <v>42 m</v>
          </cell>
          <cell r="AP174" t="str">
            <v>JAWA BARAT</v>
          </cell>
        </row>
        <row r="175">
          <cell r="A175" t="str">
            <v>JAW-JB-CBI-0086</v>
          </cell>
          <cell r="B175">
            <v>30572110031</v>
          </cell>
          <cell r="C175">
            <v>1260921003</v>
          </cell>
          <cell r="D175" t="str">
            <v>JAW-JB-CBI-0086</v>
          </cell>
          <cell r="E175" t="str">
            <v>Situ Cogarongsong Pengasinan</v>
          </cell>
          <cell r="F175">
            <v>43844</v>
          </cell>
          <cell r="G175" t="str">
            <v>JAN 2020</v>
          </cell>
          <cell r="H175">
            <v>344</v>
          </cell>
          <cell r="I175" t="str">
            <v>JABODETABEK (OUTER)</v>
          </cell>
          <cell r="J175" t="str">
            <v>BOGOR</v>
          </cell>
          <cell r="K175" t="str">
            <v>XL</v>
          </cell>
          <cell r="L175" t="str">
            <v>-</v>
          </cell>
          <cell r="M175" t="str">
            <v>B</v>
          </cell>
          <cell r="N175"/>
          <cell r="O175"/>
          <cell r="P175"/>
          <cell r="Q175"/>
          <cell r="R175" t="str">
            <v>DSR</v>
          </cell>
          <cell r="S175" t="str">
            <v>Aditya Rachaman</v>
          </cell>
          <cell r="T175">
            <v>20000000</v>
          </cell>
          <cell r="U175" t="str">
            <v>RFC</v>
          </cell>
          <cell r="V175" t="str">
            <v>12. RFC</v>
          </cell>
          <cell r="W175"/>
          <cell r="X175"/>
          <cell r="Y175"/>
          <cell r="Z175" t="e">
            <v>#N/A</v>
          </cell>
          <cell r="AA175" t="str">
            <v>RFC Done</v>
          </cell>
          <cell r="AB175" t="str">
            <v>RFC Done</v>
          </cell>
          <cell r="AC175" t="str">
            <v>-</v>
          </cell>
          <cell r="AD175" t="str">
            <v>11 Maret 2020</v>
          </cell>
          <cell r="AE175"/>
          <cell r="AF175"/>
          <cell r="AG175"/>
          <cell r="AH175" t="str">
            <v>NEW BUILD</v>
          </cell>
          <cell r="AI175" t="str">
            <v>STIP 1</v>
          </cell>
          <cell r="AJ175" t="str">
            <v>TB</v>
          </cell>
          <cell r="AK175" t="str">
            <v>C</v>
          </cell>
          <cell r="AL175" t="str">
            <v>106.69205</v>
          </cell>
          <cell r="AM175" t="str">
            <v>-6.36180</v>
          </cell>
          <cell r="AN175" t="str">
            <v>Kp Cibarengkok RT. 05 RW. 02 Desa Pengasinan Kec. Gunung Sindur, Kab. Bogor</v>
          </cell>
          <cell r="AO175" t="str">
            <v>52 m</v>
          </cell>
          <cell r="AP175" t="str">
            <v>JAWA BARAT</v>
          </cell>
        </row>
        <row r="176">
          <cell r="A176" t="str">
            <v>JAK0266</v>
          </cell>
          <cell r="B176">
            <v>23054745231</v>
          </cell>
          <cell r="C176">
            <v>125921123</v>
          </cell>
          <cell r="D176" t="str">
            <v>JAK0266</v>
          </cell>
          <cell r="E176" t="str">
            <v>CIKARANG BARAT BEKASI</v>
          </cell>
          <cell r="F176">
            <v>43710</v>
          </cell>
          <cell r="G176" t="str">
            <v>SEPT 2019</v>
          </cell>
          <cell r="H176">
            <v>478</v>
          </cell>
          <cell r="I176" t="str">
            <v>JABODETABEK (OUTER)</v>
          </cell>
          <cell r="J176" t="str">
            <v>BEKASI</v>
          </cell>
          <cell r="K176" t="str">
            <v>SMARTFREN</v>
          </cell>
          <cell r="L176" t="str">
            <v>-</v>
          </cell>
          <cell r="M176"/>
          <cell r="N176">
            <v>-6.2839080000000003</v>
          </cell>
          <cell r="O176"/>
          <cell r="P176">
            <v>107.112914</v>
          </cell>
          <cell r="Q176"/>
          <cell r="R176" t="str">
            <v>PANEN</v>
          </cell>
          <cell r="S176"/>
          <cell r="T176"/>
          <cell r="U176" t="str">
            <v>RFC</v>
          </cell>
          <cell r="V176" t="str">
            <v>12. RFC</v>
          </cell>
          <cell r="W176"/>
          <cell r="X176"/>
          <cell r="Y176"/>
          <cell r="Z176" t="e">
            <v>#N/A</v>
          </cell>
          <cell r="AA176" t="str">
            <v>PO SITAC,FP</v>
          </cell>
          <cell r="AB176" t="str">
            <v>PO SITAC,FP</v>
          </cell>
          <cell r="AC176"/>
          <cell r="AD176"/>
          <cell r="AE176" t="str">
            <v xml:space="preserve">28.11.19 : proses renego harga
11.11.19 : BAN 20jt/tahun skema 5+5+5+5, IW OG
06.11.19 : kandidat A OK, MCP 20m
18.09.19 : submit kembali kandidat A, masih reject
10.09.19 : rehunting 
05.09.19 : rehunting 
04.09.19 : submit kandidat A, kandidat reject oleh Pak Parlin
</v>
          </cell>
          <cell r="AF176"/>
          <cell r="AG176"/>
          <cell r="AH176"/>
          <cell r="AI176"/>
          <cell r="AJ176"/>
          <cell r="AK176"/>
          <cell r="AL176"/>
          <cell r="AM176"/>
          <cell r="AN176"/>
          <cell r="AO176"/>
          <cell r="AP176"/>
        </row>
        <row r="177">
          <cell r="A177" t="str">
            <v>JAW-BT-TGR-0021</v>
          </cell>
          <cell r="B177">
            <v>30572000031</v>
          </cell>
          <cell r="C177">
            <v>1317391003</v>
          </cell>
          <cell r="D177" t="str">
            <v>JAW-BT-TGR-0021</v>
          </cell>
          <cell r="E177" t="str">
            <v>Mekar Wangi Tangerang</v>
          </cell>
          <cell r="F177">
            <v>43844</v>
          </cell>
          <cell r="G177" t="str">
            <v>JAN 2020</v>
          </cell>
          <cell r="H177">
            <v>344</v>
          </cell>
          <cell r="I177" t="str">
            <v>JABODETABEK (OUTER)</v>
          </cell>
          <cell r="J177" t="str">
            <v>TANGERANG</v>
          </cell>
          <cell r="K177" t="str">
            <v>XL</v>
          </cell>
          <cell r="L177" t="str">
            <v>-</v>
          </cell>
          <cell r="M177"/>
          <cell r="N177"/>
          <cell r="O177"/>
          <cell r="P177"/>
          <cell r="Q177"/>
          <cell r="R177" t="str">
            <v>ARENAS</v>
          </cell>
          <cell r="S177"/>
          <cell r="T177"/>
          <cell r="U177" t="str">
            <v>RFC</v>
          </cell>
          <cell r="V177" t="str">
            <v>12. RFC</v>
          </cell>
          <cell r="W177"/>
          <cell r="X177"/>
          <cell r="Y177"/>
          <cell r="Z177" t="e">
            <v>#N/A</v>
          </cell>
          <cell r="AA177" t="str">
            <v>PO SITAC , DP, FP</v>
          </cell>
          <cell r="AB177" t="str">
            <v>Req PO SITAC, PROSES DP, STO &amp; ESR</v>
          </cell>
          <cell r="AC177"/>
          <cell r="AD177"/>
          <cell r="AE177"/>
          <cell r="AF177"/>
          <cell r="AG177"/>
          <cell r="AH177"/>
          <cell r="AI177"/>
          <cell r="AJ177"/>
          <cell r="AK177"/>
          <cell r="AL177"/>
          <cell r="AM177"/>
          <cell r="AN177"/>
          <cell r="AO177"/>
          <cell r="AP177"/>
        </row>
        <row r="178">
          <cell r="A178" t="str">
            <v>JAW-BT-TGR-0026</v>
          </cell>
          <cell r="B178">
            <v>30572250031</v>
          </cell>
          <cell r="C178">
            <v>1317551003</v>
          </cell>
          <cell r="D178" t="str">
            <v>JAW-BT-TGR-0026</v>
          </cell>
          <cell r="E178" t="str">
            <v>Cirumpak Tangerang</v>
          </cell>
          <cell r="F178">
            <v>43844</v>
          </cell>
          <cell r="G178" t="str">
            <v>JAN 2020</v>
          </cell>
          <cell r="H178">
            <v>344</v>
          </cell>
          <cell r="I178" t="str">
            <v>JABODETABEK (OUTER)</v>
          </cell>
          <cell r="J178" t="str">
            <v>TANGERANG</v>
          </cell>
          <cell r="K178" t="str">
            <v>XL</v>
          </cell>
          <cell r="L178" t="str">
            <v>-</v>
          </cell>
          <cell r="M178"/>
          <cell r="N178"/>
          <cell r="O178"/>
          <cell r="P178"/>
          <cell r="Q178"/>
          <cell r="R178" t="str">
            <v>BNP</v>
          </cell>
          <cell r="S178" t="str">
            <v>Aditya Rachaman</v>
          </cell>
          <cell r="T178"/>
          <cell r="U178" t="str">
            <v>RFC</v>
          </cell>
          <cell r="V178" t="str">
            <v>12. RFC</v>
          </cell>
          <cell r="W178"/>
          <cell r="X178"/>
          <cell r="Y178"/>
          <cell r="Z178" t="e">
            <v>#N/A</v>
          </cell>
          <cell r="AA178" t="str">
            <v>PO SITAC , DP, FP</v>
          </cell>
          <cell r="AB178" t="str">
            <v>PO SITAC, DP &amp; FP, STO DAN ESR</v>
          </cell>
          <cell r="AC178" t="str">
            <v>-</v>
          </cell>
          <cell r="AD178" t="str">
            <v>25 Februari 2020</v>
          </cell>
          <cell r="AE178"/>
          <cell r="AF178"/>
          <cell r="AG178"/>
          <cell r="AH178"/>
          <cell r="AI178"/>
          <cell r="AJ178"/>
          <cell r="AK178"/>
          <cell r="AL178"/>
          <cell r="AM178"/>
          <cell r="AN178"/>
          <cell r="AO178"/>
          <cell r="AP178"/>
        </row>
        <row r="179">
          <cell r="A179" t="str">
            <v>JAW-BT-TGR-0025</v>
          </cell>
          <cell r="B179">
            <v>30572240031</v>
          </cell>
          <cell r="C179">
            <v>1317541003</v>
          </cell>
          <cell r="D179" t="str">
            <v>JAW-BT-TGR-0025</v>
          </cell>
          <cell r="E179" t="str">
            <v>Patrasana Kresek</v>
          </cell>
          <cell r="F179">
            <v>43844</v>
          </cell>
          <cell r="G179" t="str">
            <v>JAN 2020</v>
          </cell>
          <cell r="H179">
            <v>344</v>
          </cell>
          <cell r="I179" t="str">
            <v>JABODETABEK (OUTER)</v>
          </cell>
          <cell r="J179" t="str">
            <v>TANGERANG</v>
          </cell>
          <cell r="K179" t="str">
            <v>XL</v>
          </cell>
          <cell r="L179" t="str">
            <v>-</v>
          </cell>
          <cell r="M179"/>
          <cell r="N179"/>
          <cell r="O179"/>
          <cell r="P179"/>
          <cell r="Q179"/>
          <cell r="R179" t="str">
            <v>BNP</v>
          </cell>
          <cell r="S179" t="str">
            <v>Aditya Rachaman</v>
          </cell>
          <cell r="T179"/>
          <cell r="U179" t="str">
            <v>RFC</v>
          </cell>
          <cell r="V179" t="str">
            <v>12. RFC</v>
          </cell>
          <cell r="W179"/>
          <cell r="X179"/>
          <cell r="Y179"/>
          <cell r="Z179" t="e">
            <v>#N/A</v>
          </cell>
          <cell r="AA179" t="str">
            <v>RFC Done</v>
          </cell>
          <cell r="AB179" t="str">
            <v>RFC Done</v>
          </cell>
          <cell r="AC179" t="str">
            <v>-</v>
          </cell>
          <cell r="AD179" t="str">
            <v>26 Februari 2020</v>
          </cell>
          <cell r="AE179"/>
          <cell r="AF179"/>
          <cell r="AG179"/>
          <cell r="AH179"/>
          <cell r="AI179"/>
          <cell r="AJ179"/>
          <cell r="AK179"/>
          <cell r="AL179"/>
          <cell r="AM179"/>
          <cell r="AN179"/>
          <cell r="AO179"/>
          <cell r="AP179"/>
        </row>
        <row r="180">
          <cell r="A180" t="str">
            <v>JAW-BT-TGR-0051</v>
          </cell>
          <cell r="B180">
            <v>30572200031</v>
          </cell>
          <cell r="C180">
            <v>1317521003</v>
          </cell>
          <cell r="D180" t="str">
            <v>JAW-BT-TGR-0051</v>
          </cell>
          <cell r="E180" t="str">
            <v>Stasiun Cikoya</v>
          </cell>
          <cell r="F180">
            <v>43844</v>
          </cell>
          <cell r="G180" t="str">
            <v>JAN 2020</v>
          </cell>
          <cell r="H180">
            <v>344</v>
          </cell>
          <cell r="I180" t="str">
            <v>JABODETABEK (OUTER)</v>
          </cell>
          <cell r="J180" t="str">
            <v>TANGERANG</v>
          </cell>
          <cell r="K180" t="str">
            <v>XL</v>
          </cell>
          <cell r="L180" t="str">
            <v>-</v>
          </cell>
          <cell r="M180"/>
          <cell r="N180"/>
          <cell r="O180"/>
          <cell r="P180"/>
          <cell r="Q180"/>
          <cell r="R180" t="str">
            <v>DATATEL</v>
          </cell>
          <cell r="S180" t="str">
            <v>Handri Purnama</v>
          </cell>
          <cell r="T180"/>
          <cell r="U180" t="str">
            <v>RFC</v>
          </cell>
          <cell r="V180" t="str">
            <v>12. RFC</v>
          </cell>
          <cell r="W180"/>
          <cell r="X180"/>
          <cell r="Y180"/>
          <cell r="Z180" t="e">
            <v>#N/A</v>
          </cell>
          <cell r="AA180" t="str">
            <v>RFC Done</v>
          </cell>
          <cell r="AB180" t="str">
            <v>RFC Done</v>
          </cell>
          <cell r="AC180" t="str">
            <v>-</v>
          </cell>
          <cell r="AD180" t="str">
            <v>28 Februari 2020</v>
          </cell>
          <cell r="AE180"/>
          <cell r="AF180"/>
          <cell r="AG180"/>
          <cell r="AH180"/>
          <cell r="AI180"/>
          <cell r="AJ180"/>
          <cell r="AK180"/>
          <cell r="AL180"/>
          <cell r="AM180"/>
          <cell r="AN180"/>
          <cell r="AO180"/>
          <cell r="AP180"/>
        </row>
        <row r="181">
          <cell r="A181" t="str">
            <v>JAK0633</v>
          </cell>
          <cell r="B181">
            <v>23055068231</v>
          </cell>
          <cell r="C181">
            <v>125962123</v>
          </cell>
          <cell r="D181" t="str">
            <v>JAK0633</v>
          </cell>
          <cell r="E181" t="str">
            <v>PONDOKMELATI</v>
          </cell>
          <cell r="F181">
            <v>43749</v>
          </cell>
          <cell r="G181" t="str">
            <v>OKT 2019</v>
          </cell>
          <cell r="H181">
            <v>439</v>
          </cell>
          <cell r="I181" t="str">
            <v>JABODETABEK (OUTER)</v>
          </cell>
          <cell r="J181" t="str">
            <v>KOTA BEKASI</v>
          </cell>
          <cell r="K181" t="str">
            <v>SMARTFREN</v>
          </cell>
          <cell r="L181" t="str">
            <v>-</v>
          </cell>
          <cell r="M181"/>
          <cell r="N181"/>
          <cell r="O181"/>
          <cell r="P181"/>
          <cell r="Q181"/>
          <cell r="R181" t="str">
            <v>LBL / SS</v>
          </cell>
          <cell r="S181" t="str">
            <v>Handri Purnama</v>
          </cell>
          <cell r="T181"/>
          <cell r="U181" t="str">
            <v>SITAC</v>
          </cell>
          <cell r="V181" t="str">
            <v>10. Rekom Lurcam</v>
          </cell>
          <cell r="W181"/>
          <cell r="X181"/>
          <cell r="Y181"/>
          <cell r="Z181" t="e">
            <v>#N/A</v>
          </cell>
          <cell r="AA181" t="str">
            <v>Rekom camat done, update Sistem RFC</v>
          </cell>
          <cell r="AB181" t="str">
            <v>Update sistem untuk RFC</v>
          </cell>
          <cell r="AC181" t="str">
            <v>-</v>
          </cell>
          <cell r="AD181" t="str">
            <v>26 Februari 2020</v>
          </cell>
          <cell r="AE181" t="str">
            <v>28.11.19: rehunting
11.11.19 : waiting JR kandidat B
04.11.19 : rehunting kandidat B
25.10.19 : BAN OG kandidat A, paralel IW
21.10.19 : assign to mitra Triyasa 
18.10.19 : kandidat A OK, kandidat B NOK
12.10.19 : submit kandidat A</v>
          </cell>
          <cell r="AF181"/>
          <cell r="AG181"/>
          <cell r="AH181"/>
          <cell r="AI181"/>
          <cell r="AJ181"/>
          <cell r="AK181"/>
          <cell r="AL181"/>
          <cell r="AM181"/>
          <cell r="AN181"/>
          <cell r="AO181"/>
          <cell r="AP181"/>
        </row>
        <row r="182">
          <cell r="A182" t="str">
            <v>JAK0292</v>
          </cell>
          <cell r="B182">
            <v>23054744231</v>
          </cell>
          <cell r="C182">
            <v>125920123</v>
          </cell>
          <cell r="D182" t="str">
            <v>JAK0292</v>
          </cell>
          <cell r="E182" t="str">
            <v>TAMBUN SELATAN BEKASI</v>
          </cell>
          <cell r="F182">
            <v>43710</v>
          </cell>
          <cell r="G182" t="str">
            <v>SEPT 2019</v>
          </cell>
          <cell r="H182">
            <v>478</v>
          </cell>
          <cell r="I182" t="str">
            <v>JABODETABEK (OUTER)</v>
          </cell>
          <cell r="J182" t="str">
            <v>BEKASI</v>
          </cell>
          <cell r="K182" t="str">
            <v>SMARTFREN</v>
          </cell>
          <cell r="L182" t="str">
            <v>-</v>
          </cell>
          <cell r="M182"/>
          <cell r="N182">
            <v>-6.233822</v>
          </cell>
          <cell r="O182"/>
          <cell r="P182">
            <v>107.077569</v>
          </cell>
          <cell r="Q182"/>
          <cell r="R182" t="str">
            <v>PANEN</v>
          </cell>
          <cell r="S182"/>
          <cell r="T182"/>
          <cell r="U182" t="str">
            <v>RFC</v>
          </cell>
          <cell r="V182" t="str">
            <v>12. RFC</v>
          </cell>
          <cell r="W182"/>
          <cell r="X182"/>
          <cell r="Y182"/>
          <cell r="Z182" t="e">
            <v>#N/A</v>
          </cell>
          <cell r="AA182" t="str">
            <v>PO SITAC, DP,FP</v>
          </cell>
          <cell r="AB182" t="str">
            <v>PO SITAC, DP,FP</v>
          </cell>
          <cell r="AC182"/>
          <cell r="AD182"/>
          <cell r="AE182" t="str">
            <v xml:space="preserve">28.11.19 : proses renego harga
11.11.19 : BAN 20jt/tahun skema 5+5+5+5, IW OG
06.11.19 : kandidat A OK, MCP 20m
18.09.19 : submit kembali kandidat A, masih reject
11.09.19 : submit kandidat B 
09.09.19 : still rehunting 
05.09.19 : rehunting
04.09.19 : submit kandidat A, kandidat A reject oleh Pak Parlin
</v>
          </cell>
          <cell r="AF182"/>
          <cell r="AG182"/>
          <cell r="AH182"/>
          <cell r="AI182"/>
          <cell r="AJ182"/>
          <cell r="AK182"/>
          <cell r="AL182"/>
          <cell r="AM182"/>
          <cell r="AN182"/>
          <cell r="AO182"/>
          <cell r="AP182"/>
        </row>
        <row r="183">
          <cell r="A183" t="str">
            <v>JAW-BT-TGR-0030</v>
          </cell>
          <cell r="B183">
            <v>30572040031</v>
          </cell>
          <cell r="C183">
            <v>1317431003</v>
          </cell>
          <cell r="D183" t="str">
            <v>JAW-BT-TGR-0030</v>
          </cell>
          <cell r="E183" t="str">
            <v>Jalan Raya Kukun Daun</v>
          </cell>
          <cell r="F183">
            <v>43844</v>
          </cell>
          <cell r="G183" t="str">
            <v>JAN 2020</v>
          </cell>
          <cell r="H183">
            <v>344</v>
          </cell>
          <cell r="I183" t="str">
            <v>JABODETABEK (OUTER)</v>
          </cell>
          <cell r="J183" t="str">
            <v>TANGERANG</v>
          </cell>
          <cell r="K183" t="str">
            <v>XL</v>
          </cell>
          <cell r="L183" t="str">
            <v>-</v>
          </cell>
          <cell r="M183"/>
          <cell r="N183"/>
          <cell r="O183"/>
          <cell r="P183"/>
          <cell r="Q183"/>
          <cell r="R183" t="str">
            <v>BNP</v>
          </cell>
          <cell r="S183" t="str">
            <v>Aditya Rachaman</v>
          </cell>
          <cell r="T183"/>
          <cell r="U183" t="str">
            <v>RFC</v>
          </cell>
          <cell r="V183" t="str">
            <v>12. RFC</v>
          </cell>
          <cell r="W183"/>
          <cell r="X183"/>
          <cell r="Y183"/>
          <cell r="Z183" t="e">
            <v>#N/A</v>
          </cell>
          <cell r="AA183" t="str">
            <v>RFC Done</v>
          </cell>
          <cell r="AB183" t="str">
            <v>RFC Done</v>
          </cell>
          <cell r="AC183"/>
          <cell r="AD183"/>
          <cell r="AE183"/>
          <cell r="AF183"/>
          <cell r="AG183"/>
          <cell r="AH183"/>
          <cell r="AI183"/>
          <cell r="AJ183"/>
          <cell r="AK183"/>
          <cell r="AL183"/>
          <cell r="AM183"/>
          <cell r="AN183"/>
          <cell r="AO183"/>
          <cell r="AP183"/>
        </row>
        <row r="184">
          <cell r="A184" t="str">
            <v>JAW-BT-TGR-0032</v>
          </cell>
          <cell r="B184">
            <v>30572170031</v>
          </cell>
          <cell r="C184">
            <v>1317491003</v>
          </cell>
          <cell r="D184" t="str">
            <v>JAW-BT-TGR-0032</v>
          </cell>
          <cell r="E184" t="str">
            <v>Serang Cikande</v>
          </cell>
          <cell r="F184">
            <v>43844</v>
          </cell>
          <cell r="G184" t="str">
            <v>JAN 2020</v>
          </cell>
          <cell r="H184">
            <v>344</v>
          </cell>
          <cell r="I184" t="str">
            <v>JABODETABEK (OUTER)</v>
          </cell>
          <cell r="J184" t="str">
            <v>TANGERANG</v>
          </cell>
          <cell r="K184" t="str">
            <v>XL</v>
          </cell>
          <cell r="L184" t="str">
            <v>-</v>
          </cell>
          <cell r="M184"/>
          <cell r="N184"/>
          <cell r="O184"/>
          <cell r="P184"/>
          <cell r="Q184"/>
          <cell r="R184" t="str">
            <v>BNP</v>
          </cell>
          <cell r="S184" t="str">
            <v>Aditya Rachaman</v>
          </cell>
          <cell r="T184"/>
          <cell r="U184" t="str">
            <v>RFC</v>
          </cell>
          <cell r="V184" t="str">
            <v>12. RFC</v>
          </cell>
          <cell r="W184"/>
          <cell r="X184"/>
          <cell r="Y184"/>
          <cell r="Z184" t="e">
            <v>#N/A</v>
          </cell>
          <cell r="AA184" t="str">
            <v>RFC Done</v>
          </cell>
          <cell r="AB184" t="str">
            <v>RFC Done</v>
          </cell>
          <cell r="AC184"/>
          <cell r="AD184"/>
          <cell r="AE184"/>
          <cell r="AF184"/>
          <cell r="AG184"/>
          <cell r="AH184"/>
          <cell r="AI184"/>
          <cell r="AJ184"/>
          <cell r="AK184"/>
          <cell r="AL184"/>
          <cell r="AM184"/>
          <cell r="AN184"/>
          <cell r="AO184"/>
          <cell r="AP184"/>
        </row>
        <row r="185">
          <cell r="A185" t="str">
            <v>JAK0743</v>
          </cell>
          <cell r="B185">
            <v>23054785231</v>
          </cell>
          <cell r="C185">
            <v>125931123</v>
          </cell>
          <cell r="D185" t="str">
            <v>JAK0743</v>
          </cell>
          <cell r="E185" t="str">
            <v>BEJI KOTA DEPOK</v>
          </cell>
          <cell r="F185">
            <v>43710</v>
          </cell>
          <cell r="G185" t="str">
            <v>SEPT 2019</v>
          </cell>
          <cell r="H185">
            <v>478</v>
          </cell>
          <cell r="I185" t="str">
            <v>JABODETABEK (INNER)</v>
          </cell>
          <cell r="J185" t="str">
            <v>KOTA DEPOK</v>
          </cell>
          <cell r="K185" t="str">
            <v>SMARTFREN</v>
          </cell>
          <cell r="L185" t="str">
            <v>-</v>
          </cell>
          <cell r="M185"/>
          <cell r="N185">
            <v>-6.3739650000000001</v>
          </cell>
          <cell r="O185"/>
          <cell r="P185">
            <v>106.813473</v>
          </cell>
          <cell r="Q185"/>
          <cell r="R185" t="str">
            <v>LBL</v>
          </cell>
          <cell r="S185" t="str">
            <v>Handri Purnama</v>
          </cell>
          <cell r="T185"/>
          <cell r="U185" t="str">
            <v>CME OG</v>
          </cell>
          <cell r="V185" t="str">
            <v xml:space="preserve">15. Tower Foundation </v>
          </cell>
          <cell r="W185"/>
          <cell r="X185"/>
          <cell r="Y185"/>
          <cell r="Z185" t="e">
            <v>#N/A</v>
          </cell>
          <cell r="AA185" t="str">
            <v>proses borepile</v>
          </cell>
          <cell r="AB185"/>
          <cell r="AC185"/>
          <cell r="AD185"/>
          <cell r="AE185" t="str">
            <v xml:space="preserve">28.11.19 : waiting APD
18.11.19 : rkeom lurah OG
13.11.19 : eskalasi approved, prepare realisasi sitac
11.11.19 : BAN 18jt/thn skema 2+3+5+5+5, IW clear, submit eskalasi
06.11.19 : kandidat G OK
04.11.19 : potensi gagal IW kandidat F, submit kandidat G
28.10.19 : kandidat F OK, BAN 20jt/tahun skema 3+2+5+5+5
24.10.19 : submit kandidat F
18.10.19 : still rehunting F
15.10.19 : kandidat E NOK
10.10.19 : submit kandidat E
08.10.19 : kandidat C gagal IW, rehunting kandidat E
01.10.19 : kandidat D menolak untuk di sewa, BAN kandidat C 25jt/thn 
26.09.19 : kandidat C dan D OK, BAN OG
25.09.19 : submit kandidat C dan D
16.09.19 : kandidat B OK by pak parlin, namun ahli waris tidak menyetujui untuk disewakan, kembali nego di kandidat A paralel IW OG
13.09.19 : submit kandidat B, paralel nego harga kandidat A
11.09.19 : LL meminta pembayaran 5tahun di depan, BAN 25 juta
09.09.19 : rehunting, LL tidak bersedia dengan skema SF
05.09.19 : kand A approve TNP oleh Pak Olly
04.09.19 : kand A approve RNP oleh Pak Parlin
</v>
          </cell>
          <cell r="AF185"/>
          <cell r="AG185"/>
          <cell r="AH185"/>
          <cell r="AI185"/>
          <cell r="AJ185"/>
          <cell r="AK185"/>
          <cell r="AL185"/>
          <cell r="AM185"/>
          <cell r="AN185"/>
          <cell r="AO185"/>
          <cell r="AP185"/>
        </row>
        <row r="186">
          <cell r="A186" t="str">
            <v>02RKB025</v>
          </cell>
          <cell r="B186">
            <v>4054932041</v>
          </cell>
          <cell r="C186">
            <v>125957104</v>
          </cell>
          <cell r="D186" t="str">
            <v>02RKB025</v>
          </cell>
          <cell r="E186" t="str">
            <v>KP_PABUARAN</v>
          </cell>
          <cell r="F186">
            <v>43724</v>
          </cell>
          <cell r="G186" t="str">
            <v>SEPT 2019</v>
          </cell>
          <cell r="H186">
            <v>464</v>
          </cell>
          <cell r="I186" t="str">
            <v>JABODETABEK (OUTER)</v>
          </cell>
          <cell r="J186" t="str">
            <v>KOTA BOGOR</v>
          </cell>
          <cell r="K186" t="str">
            <v>ISAT</v>
          </cell>
          <cell r="L186" t="str">
            <v>-</v>
          </cell>
          <cell r="M186"/>
          <cell r="N186"/>
          <cell r="O186"/>
          <cell r="P186"/>
          <cell r="Q186"/>
          <cell r="R186" t="str">
            <v>DATATEL</v>
          </cell>
          <cell r="S186" t="str">
            <v>Handri Purnama</v>
          </cell>
          <cell r="T186"/>
          <cell r="U186" t="str">
            <v>CME OG</v>
          </cell>
          <cell r="V186" t="str">
            <v xml:space="preserve">15. Tower Foundation </v>
          </cell>
          <cell r="W186"/>
          <cell r="X186"/>
          <cell r="Y186"/>
          <cell r="Z186" t="e">
            <v>#N/A</v>
          </cell>
          <cell r="AA186" t="str">
            <v xml:space="preserve">galian pondasi </v>
          </cell>
          <cell r="AB186"/>
          <cell r="AC186"/>
          <cell r="AD186"/>
          <cell r="AE186" t="str">
            <v>28.11.19 : proses kelengkapan legalitas dokumen
25.11.19 : realiasasi sitac, plan soil test
11.11.19 : IW clear, review eskalasi
04.11.19 : kandidat B gagal IW, validasi kandidat C
24.10.19 : kandidat B OK, BAN OG
21.10.19 : submit kandidat B</v>
          </cell>
          <cell r="AF186"/>
          <cell r="AG186"/>
          <cell r="AH186"/>
          <cell r="AI186"/>
          <cell r="AJ186"/>
          <cell r="AK186"/>
          <cell r="AL186"/>
          <cell r="AM186"/>
          <cell r="AN186"/>
          <cell r="AO186"/>
          <cell r="AP186"/>
        </row>
        <row r="187">
          <cell r="A187" t="str">
            <v>BOG0142</v>
          </cell>
          <cell r="B187">
            <v>23054746231</v>
          </cell>
          <cell r="C187">
            <v>125922123</v>
          </cell>
          <cell r="D187" t="str">
            <v>BOG0142</v>
          </cell>
          <cell r="E187" t="str">
            <v>CIOMAS BOGOR</v>
          </cell>
          <cell r="F187">
            <v>43710</v>
          </cell>
          <cell r="G187" t="str">
            <v>SEPT 2019</v>
          </cell>
          <cell r="H187">
            <v>478</v>
          </cell>
          <cell r="I187" t="str">
            <v>JABODETABEK (OUTER)</v>
          </cell>
          <cell r="J187" t="str">
            <v>BOGOR</v>
          </cell>
          <cell r="K187" t="str">
            <v>SMARTFREN</v>
          </cell>
          <cell r="L187" t="str">
            <v>-</v>
          </cell>
          <cell r="M187"/>
          <cell r="N187">
            <v>-6.6034699999999997</v>
          </cell>
          <cell r="O187"/>
          <cell r="P187">
            <v>106.7621</v>
          </cell>
          <cell r="Q187"/>
          <cell r="R187" t="str">
            <v>Orlie</v>
          </cell>
          <cell r="S187" t="str">
            <v>Handri Purnama</v>
          </cell>
          <cell r="T187"/>
          <cell r="U187" t="str">
            <v>CME OG</v>
          </cell>
          <cell r="V187" t="str">
            <v xml:space="preserve">15. Tower Foundation </v>
          </cell>
          <cell r="W187"/>
          <cell r="X187"/>
          <cell r="Y187"/>
          <cell r="Z187" t="e">
            <v>#N/A</v>
          </cell>
          <cell r="AA187" t="str">
            <v xml:space="preserve">galian pondasi </v>
          </cell>
          <cell r="AB187" t="str">
            <v>FP</v>
          </cell>
          <cell r="AC187"/>
          <cell r="AD187"/>
          <cell r="AE187" t="str">
            <v>28.11.19 : harga BAN 30jt/thn, rehunting take over mitra
18.11.19 : kandidat E OK, BAN dan IW OG
14.11.19 : submit kandidat E
11.11.19 : kandidat C ahli waris tidak setuju, kandidat D yayasan tidak menyewakan, rehunting kandidat E
04.11.19 : BAN OG 
23.10.19 : kandidat C dan D OK, reheight menjadi 36
21.10.19 : submit kandidat C,D,E
18.10.19 : still rehunting
10.10.19 : rehunting kandidat C
26.09.19 : submit kandidat B with JR dan perda
18.09.19 : submit kandidat B 
11.09.19 : mitra submit Kand B dan C, on going cek status cellplan sebelum di validasi
09.09.19 : kandidat A outcell Kab. Bogor, IMB tidak bisa release. Rehunting arahan incell
05.09.19 : kand A approve TNP oleh Pak Olly
04.09.19 : kand A approve RNP oleh Pak Parlin</v>
          </cell>
          <cell r="AF187"/>
          <cell r="AG187"/>
          <cell r="AH187"/>
          <cell r="AI187"/>
          <cell r="AJ187"/>
          <cell r="AK187"/>
          <cell r="AL187"/>
          <cell r="AM187"/>
          <cell r="AN187"/>
          <cell r="AO187"/>
          <cell r="AP187"/>
        </row>
        <row r="188">
          <cell r="A188" t="str">
            <v>BOG0064</v>
          </cell>
          <cell r="B188">
            <v>23055087231</v>
          </cell>
          <cell r="C188">
            <v>125966123</v>
          </cell>
          <cell r="D188" t="str">
            <v>BOG0064</v>
          </cell>
          <cell r="E188" t="str">
            <v>SUKARAJA CILEBUT</v>
          </cell>
          <cell r="F188">
            <v>43749</v>
          </cell>
          <cell r="G188" t="str">
            <v>OKT 2019</v>
          </cell>
          <cell r="H188">
            <v>439</v>
          </cell>
          <cell r="I188" t="str">
            <v>JABODETABEK (OUTER)</v>
          </cell>
          <cell r="J188" t="str">
            <v>BOGOR</v>
          </cell>
          <cell r="K188" t="str">
            <v>SMARTFREN</v>
          </cell>
          <cell r="L188" t="str">
            <v>-</v>
          </cell>
          <cell r="M188"/>
          <cell r="N188"/>
          <cell r="O188"/>
          <cell r="P188"/>
          <cell r="Q188"/>
          <cell r="R188" t="str">
            <v>BNP</v>
          </cell>
          <cell r="S188" t="str">
            <v>Aditya Rachaman</v>
          </cell>
          <cell r="T188"/>
          <cell r="U188" t="str">
            <v>CME OG</v>
          </cell>
          <cell r="V188" t="str">
            <v xml:space="preserve">15. Tower Foundation </v>
          </cell>
          <cell r="W188"/>
          <cell r="X188"/>
          <cell r="Y188"/>
          <cell r="Z188" t="e">
            <v>#N/A</v>
          </cell>
          <cell r="AA188" t="str">
            <v xml:space="preserve">galian pondasi </v>
          </cell>
          <cell r="AB188"/>
          <cell r="AC188"/>
          <cell r="AD188"/>
          <cell r="AE188" t="str">
            <v>28.11.19 : kandidat F OK, BAN dan IW OG
25.11.19 : kandidat E outcell, submit kandidat F
23.11.19 : kandidat E OK, reheight menjadi 42m
20.11.19 : proposed kembali kandidat E dg reheight menjadi 42m
18.11.19 : kandidat E NOK, rehunting kandidat F
14.11.19 : submit kandidat E
11.11.19 : gagal IW kandidat D, rehunting kandidat E dan take over mitra
04.11.19 : validasi kandidat D
23.10.19 : kandidat A reject IW, IW on going kandidat B, BAN 30jt dan C
18.10.19 : BAN OG
15.10.19 : kandidat A,B, C semua OK
11.10.19 : submit kandidat A, B, dan C</v>
          </cell>
          <cell r="AF188"/>
          <cell r="AG188"/>
          <cell r="AH188"/>
          <cell r="AI188"/>
          <cell r="AJ188"/>
          <cell r="AK188"/>
          <cell r="AL188"/>
          <cell r="AM188"/>
          <cell r="AN188"/>
          <cell r="AO188"/>
          <cell r="AP188"/>
        </row>
        <row r="189">
          <cell r="A189" t="str">
            <v>BOG0055</v>
          </cell>
          <cell r="B189">
            <v>23055089231</v>
          </cell>
          <cell r="C189">
            <v>125968123</v>
          </cell>
          <cell r="D189" t="str">
            <v>BOG0055</v>
          </cell>
          <cell r="E189" t="str">
            <v>CIBINONG NANGGEWER</v>
          </cell>
          <cell r="F189">
            <v>43749</v>
          </cell>
          <cell r="G189" t="str">
            <v>OKT 2019</v>
          </cell>
          <cell r="H189">
            <v>439</v>
          </cell>
          <cell r="I189" t="str">
            <v>JABODETABEK (OUTER)</v>
          </cell>
          <cell r="J189" t="str">
            <v>BOGOR</v>
          </cell>
          <cell r="K189" t="str">
            <v>SMARTFREN</v>
          </cell>
          <cell r="L189" t="str">
            <v>-</v>
          </cell>
          <cell r="M189"/>
          <cell r="N189"/>
          <cell r="O189"/>
          <cell r="P189"/>
          <cell r="Q189"/>
          <cell r="R189" t="str">
            <v>Orlie</v>
          </cell>
          <cell r="S189" t="str">
            <v>Handri Purnama</v>
          </cell>
          <cell r="T189"/>
          <cell r="U189" t="str">
            <v>RFI</v>
          </cell>
          <cell r="V189" t="str">
            <v>21. RFI</v>
          </cell>
          <cell r="W189"/>
          <cell r="X189"/>
          <cell r="Y189"/>
          <cell r="Z189" t="e">
            <v>#N/A</v>
          </cell>
          <cell r="AA189" t="str">
            <v>Curing time</v>
          </cell>
          <cell r="AB189" t="str">
            <v>FP</v>
          </cell>
          <cell r="AC189"/>
          <cell r="AD189"/>
          <cell r="AE189" t="str">
            <v>28.11.19 : IW clear bumi perkemahan sudah OK
20.11.19 : propose penurunan ketinggian menjadi 32m untuk menghindari IW bumi perkemahan
11.11.19 : IW on going kandidat B
04.11.19 : gagal IW kandidat A, BAN di kandidat B 22jt/thn IW minus 1 KK bumi perkemahan
25.10.19 : BAN OG 
18.10.19 : kandidat A dan B OK
15.10.19 : submit kandidat A dan B</v>
          </cell>
          <cell r="AF189"/>
          <cell r="AG189"/>
          <cell r="AH189"/>
          <cell r="AI189"/>
          <cell r="AJ189"/>
          <cell r="AK189"/>
          <cell r="AL189"/>
          <cell r="AM189"/>
          <cell r="AN189"/>
          <cell r="AO189"/>
          <cell r="AP189"/>
        </row>
        <row r="190">
          <cell r="A190" t="str">
            <v>BOG0119</v>
          </cell>
          <cell r="B190">
            <v>23055088231</v>
          </cell>
          <cell r="C190">
            <v>125967123</v>
          </cell>
          <cell r="D190" t="str">
            <v>BOG0119</v>
          </cell>
          <cell r="E190" t="str">
            <v>ABDUL FATAH</v>
          </cell>
          <cell r="F190">
            <v>43749</v>
          </cell>
          <cell r="G190" t="str">
            <v>OKT 2019</v>
          </cell>
          <cell r="H190">
            <v>439</v>
          </cell>
          <cell r="I190" t="str">
            <v>JABODETABEK (OUTER)</v>
          </cell>
          <cell r="J190" t="str">
            <v>BOGOR</v>
          </cell>
          <cell r="K190" t="str">
            <v>SMARTFREN</v>
          </cell>
          <cell r="L190" t="str">
            <v>-</v>
          </cell>
          <cell r="M190"/>
          <cell r="N190"/>
          <cell r="O190"/>
          <cell r="P190"/>
          <cell r="Q190"/>
          <cell r="R190" t="str">
            <v>NAYAKA</v>
          </cell>
          <cell r="S190"/>
          <cell r="T190"/>
          <cell r="U190" t="str">
            <v>RFI</v>
          </cell>
          <cell r="V190" t="str">
            <v>21. RFI</v>
          </cell>
          <cell r="W190"/>
          <cell r="X190"/>
          <cell r="Y190"/>
          <cell r="Z190" t="e">
            <v>#N/A</v>
          </cell>
          <cell r="AA190" t="str">
            <v>RFI</v>
          </cell>
          <cell r="AB190"/>
          <cell r="AC190"/>
          <cell r="AD190"/>
          <cell r="AE190" t="str">
            <v>28.11.19 : RFC
18.11.19 : rekom camat OG
11.11.19 : realisasi iw dan rekom lurah on going
04.11.19 : submit eskalasito ARO
25.10.19 : IW clear 71 KK, nilai sitac mahal
18.10.19 : IW OG
16.10.19 : BAN 15jt/tahun skema 5+5+5+5, IW OG
15.10.19 : kandidat A OK
11.10.19 : submit kandidat A</v>
          </cell>
          <cell r="AF190"/>
          <cell r="AG190"/>
          <cell r="AH190"/>
          <cell r="AI190"/>
          <cell r="AJ190"/>
          <cell r="AK190"/>
          <cell r="AL190"/>
          <cell r="AM190"/>
          <cell r="AN190"/>
          <cell r="AO190"/>
          <cell r="AP190"/>
        </row>
        <row r="191">
          <cell r="A191" t="str">
            <v>03DPK292</v>
          </cell>
          <cell r="B191">
            <v>4054727041</v>
          </cell>
          <cell r="C191">
            <v>125919104</v>
          </cell>
          <cell r="D191" t="str">
            <v>03DPK292</v>
          </cell>
          <cell r="E191" t="str">
            <v>BAKTIABRI</v>
          </cell>
          <cell r="F191">
            <v>43707</v>
          </cell>
          <cell r="G191" t="str">
            <v>AUG 2019</v>
          </cell>
          <cell r="H191">
            <v>481</v>
          </cell>
          <cell r="I191" t="str">
            <v>JABODETABEK (INNER)</v>
          </cell>
          <cell r="J191" t="str">
            <v>KOTA DEPOK</v>
          </cell>
          <cell r="K191" t="str">
            <v>ISAT</v>
          </cell>
          <cell r="L191" t="str">
            <v>-</v>
          </cell>
          <cell r="M191"/>
          <cell r="N191"/>
          <cell r="O191"/>
          <cell r="P191"/>
          <cell r="Q191"/>
          <cell r="R191" t="str">
            <v>LBL</v>
          </cell>
          <cell r="S191" t="str">
            <v>Handri Purnama</v>
          </cell>
          <cell r="T191"/>
          <cell r="U191" t="str">
            <v>RFI</v>
          </cell>
          <cell r="V191" t="str">
            <v>21. RFI</v>
          </cell>
          <cell r="W191"/>
          <cell r="X191"/>
          <cell r="Y191"/>
          <cell r="Z191" t="e">
            <v>#N/A</v>
          </cell>
          <cell r="AA191" t="str">
            <v>RFI</v>
          </cell>
          <cell r="AB191"/>
          <cell r="AC191"/>
          <cell r="AD191"/>
          <cell r="AE191" t="str">
            <v>28.11.19 : curing time
18.11.19 : bekisting
11.11.19 : galian pondasi
24.10.19 : review dokumen DP
18.10.19 : rekom lurcam done
11.10.19 : soil test
10.10.19 : realisasi sitac dan los survey
08.10.19 : submit eskalasi, eskalasi approved
01.10.19 : IW sudah sign 10 KK dari 18KK 
26.09.19 : BAN 15juta/tahun skema 5+5+5+5, IW OG 
25.09.19 : submit kandidat D, kandidat D OK by pak faulana
17.09.19 : submit kembali kandidat C, lampirkan JR, potensi IW clear
11.09.19 : kand C NOK by Pak Faulana, rehunting arahan dari Pak Faulana
10.09.19 : submit kandidat C to Pak Jafar
07.09.19 : harga sewa lahan LL meminta 45juta/tahun, rehunting kand C
06.09.19 : kand A ok, kand B NOK oleh Pak faulana
04.09.19 : submit kand A dan B</v>
          </cell>
          <cell r="AF191"/>
          <cell r="AG191"/>
          <cell r="AH191"/>
          <cell r="AI191"/>
          <cell r="AJ191"/>
          <cell r="AK191"/>
          <cell r="AL191"/>
          <cell r="AM191"/>
          <cell r="AN191"/>
          <cell r="AO191"/>
          <cell r="AP191"/>
        </row>
        <row r="192">
          <cell r="A192" t="str">
            <v>BOG0136</v>
          </cell>
          <cell r="B192">
            <v>23054747231</v>
          </cell>
          <cell r="C192">
            <v>125923123</v>
          </cell>
          <cell r="D192" t="str">
            <v>BOG0136</v>
          </cell>
          <cell r="E192" t="str">
            <v>BOGOR BARAT</v>
          </cell>
          <cell r="F192">
            <v>43710</v>
          </cell>
          <cell r="G192" t="str">
            <v>SEPT 2019</v>
          </cell>
          <cell r="H192">
            <v>478</v>
          </cell>
          <cell r="I192" t="str">
            <v>JABODETABEK (OUTER)</v>
          </cell>
          <cell r="J192" t="str">
            <v>KOTA BOGOR</v>
          </cell>
          <cell r="K192" t="str">
            <v>SMARTFREN</v>
          </cell>
          <cell r="L192" t="str">
            <v>-</v>
          </cell>
          <cell r="M192"/>
          <cell r="N192">
            <v>-6.5610559999999998</v>
          </cell>
          <cell r="O192"/>
          <cell r="P192">
            <v>106.739176</v>
          </cell>
          <cell r="Q192"/>
          <cell r="R192" t="str">
            <v>Turangga</v>
          </cell>
          <cell r="S192" t="str">
            <v>Aditya Rachaman</v>
          </cell>
          <cell r="T192"/>
          <cell r="U192" t="str">
            <v>RFI</v>
          </cell>
          <cell r="V192" t="str">
            <v>21. RFI</v>
          </cell>
          <cell r="W192"/>
          <cell r="X192"/>
          <cell r="Y192"/>
          <cell r="Z192" t="e">
            <v>#N/A</v>
          </cell>
          <cell r="AA192" t="str">
            <v>RFI</v>
          </cell>
          <cell r="AB192"/>
          <cell r="AC192"/>
          <cell r="AD192"/>
          <cell r="AE192" t="str">
            <v xml:space="preserve">28.11.19 : harga BAN 20jt/thn, proses cek GSS dan eskalasi
20.11.19 : IW OG kandidat A, IW kandidat A sudah kondusif
11.11.19 : take over mitra, rehunting
04.11.19 : rehunting kandidat E
25.10.19 : rehunting kandidat E, paralel pendekatan IW di kandidat C
18.10.19 : kandidat D NOK, near eksisting SF
15.10.19 : submit kandidat D
11.10.19 : Gagal IW
07.10.19 : kandidat C OK, BAN OG
03.10.19 : submit kandidat C with JR
26.09.19 : rehunting kandidat C
20.09.19 : kandidat B NOK near eksisting SF, rehunting kandidat C sesuai arahan
18.09.19 : submit kandidat B, ada penurunan ketinggian karena dekat dengan bandara Atang Sanjaya
12.09.19 : kandidat A reject IW, rehunting kandidat B
09.09.19 : kandidat A harga BAN 15jt/tahun, permintaan skema dibayar 5+5+5+5, plan nego oleh TBG paralel rehunting 
05.09.19 : approve TNP oleh Pak Olly
04.09.19 : kand A approve RNP oleh Pak Parlin
</v>
          </cell>
          <cell r="AF192"/>
          <cell r="AG192"/>
          <cell r="AH192"/>
          <cell r="AI192"/>
          <cell r="AJ192"/>
          <cell r="AK192"/>
          <cell r="AL192"/>
          <cell r="AM192"/>
          <cell r="AN192"/>
          <cell r="AO192"/>
          <cell r="AP192"/>
        </row>
        <row r="193">
          <cell r="A193" t="str">
            <v>BOG0195</v>
          </cell>
          <cell r="B193">
            <v>23054784231</v>
          </cell>
          <cell r="C193">
            <v>125930123</v>
          </cell>
          <cell r="D193" t="str">
            <v>BOG0195</v>
          </cell>
          <cell r="E193" t="str">
            <v>CITEUREUP BOGOR</v>
          </cell>
          <cell r="F193">
            <v>43710</v>
          </cell>
          <cell r="G193" t="str">
            <v>SEPT 2019</v>
          </cell>
          <cell r="H193">
            <v>478</v>
          </cell>
          <cell r="I193" t="str">
            <v>JABODETABEK (OUTER)</v>
          </cell>
          <cell r="J193" t="str">
            <v>BOGOR</v>
          </cell>
          <cell r="K193" t="str">
            <v>SMARTFREN</v>
          </cell>
          <cell r="L193" t="str">
            <v>-</v>
          </cell>
          <cell r="M193"/>
          <cell r="N193">
            <v>-6.4981799999999996</v>
          </cell>
          <cell r="O193"/>
          <cell r="P193">
            <v>106.9</v>
          </cell>
          <cell r="Q193"/>
          <cell r="R193" t="str">
            <v>PANEN</v>
          </cell>
          <cell r="S193"/>
          <cell r="T193"/>
          <cell r="U193" t="str">
            <v>RFI</v>
          </cell>
          <cell r="V193" t="str">
            <v>21. RFI</v>
          </cell>
          <cell r="W193"/>
          <cell r="X193"/>
          <cell r="Y193"/>
          <cell r="Z193" t="e">
            <v>#N/A</v>
          </cell>
          <cell r="AA193" t="str">
            <v>RFI</v>
          </cell>
          <cell r="AB193"/>
          <cell r="AC193"/>
          <cell r="AD193"/>
          <cell r="AE193" t="str">
            <v>28.11.19 : curing time
13.11.19 : galian pondasi
11.11.19 : land clearing
04.11.19 : rekom camat
25.10.19 : rekom lurcam still on going
18.10.19 : rekom lurcam on going
07.10.19 : realisasi IW dan soil test
02.10.19 : submit eskalasi to ARO
30.09.19 : minus 1KK blm ttd
26.09,19 : Total IW 21 KK, minus 4 KK blm ttd
18.09.19 : harga BAN 25jt, IW on going
13.09.19 : submit kandidat B, lahan milik Pak RT 
09.10.19 : harga sewa lahan 40jt/tahun, skema bersedia 2+3+5+5+5 plan nego by TBG rehunting kandidat cadangan
05.09.19 : kand A approve TNP oleh Pak Olly
04.09.19 : kand A approve RNP oleh Pak Parlin</v>
          </cell>
          <cell r="AF193"/>
          <cell r="AG193"/>
          <cell r="AH193"/>
          <cell r="AI193"/>
          <cell r="AJ193"/>
          <cell r="AK193"/>
          <cell r="AL193"/>
          <cell r="AM193"/>
          <cell r="AN193"/>
          <cell r="AO193"/>
          <cell r="AP193"/>
        </row>
        <row r="194">
          <cell r="A194" t="str">
            <v>JAK0361</v>
          </cell>
          <cell r="B194">
            <v>23055095231</v>
          </cell>
          <cell r="C194">
            <v>112683123</v>
          </cell>
          <cell r="D194" t="str">
            <v>JAK0361</v>
          </cell>
          <cell r="E194" t="str">
            <v>PALMERAH</v>
          </cell>
          <cell r="F194">
            <v>43749</v>
          </cell>
          <cell r="G194" t="str">
            <v>OKT 2019</v>
          </cell>
          <cell r="H194">
            <v>439</v>
          </cell>
          <cell r="I194" t="str">
            <v>JABODETABEK (INNER)</v>
          </cell>
          <cell r="J194" t="str">
            <v>JAKARTA BARAT</v>
          </cell>
          <cell r="K194" t="str">
            <v>SMARTFREN</v>
          </cell>
          <cell r="L194" t="str">
            <v>-</v>
          </cell>
          <cell r="M194"/>
          <cell r="N194"/>
          <cell r="O194"/>
          <cell r="P194"/>
          <cell r="Q194"/>
          <cell r="R194" t="str">
            <v>KLS</v>
          </cell>
          <cell r="S194" t="str">
            <v>Aditya Rachaman</v>
          </cell>
          <cell r="T194"/>
          <cell r="U194" t="str">
            <v>RFI</v>
          </cell>
          <cell r="V194" t="str">
            <v>21. RFI</v>
          </cell>
          <cell r="W194"/>
          <cell r="X194"/>
          <cell r="Y194"/>
          <cell r="Z194" t="e">
            <v>#N/A</v>
          </cell>
          <cell r="AA194" t="str">
            <v>RFI</v>
          </cell>
          <cell r="AB194"/>
          <cell r="AC194"/>
          <cell r="AD194"/>
          <cell r="AE194" t="str">
            <v>28.11.19 : curing time
11.11.19 : IW OG (finalisasi skema KLS)
04.11.19 : IW OG 
25.10.19 : hasil review TNP OK untuk ketinggian 20m
23.10.19 : submit panoramic by drone 
18.10.19 : IW on going, lahan fasum
15.10.19 : kandidat A OK
11.10.19 : submit kandidat A</v>
          </cell>
          <cell r="AF194"/>
          <cell r="AG194"/>
          <cell r="AH194"/>
          <cell r="AI194"/>
          <cell r="AJ194"/>
          <cell r="AK194"/>
          <cell r="AL194"/>
          <cell r="AM194"/>
          <cell r="AN194"/>
          <cell r="AO194"/>
          <cell r="AP194"/>
        </row>
        <row r="195">
          <cell r="A195" t="str">
            <v>Jabo Inner_Add_008</v>
          </cell>
          <cell r="B195">
            <v>23055098231</v>
          </cell>
          <cell r="C195">
            <v>112686123</v>
          </cell>
          <cell r="D195" t="str">
            <v>Jabo Inner_Add_008</v>
          </cell>
          <cell r="E195" t="str">
            <v>SETIA BUDI</v>
          </cell>
          <cell r="F195">
            <v>43749</v>
          </cell>
          <cell r="G195" t="str">
            <v>OKT 2019</v>
          </cell>
          <cell r="H195">
            <v>439</v>
          </cell>
          <cell r="I195" t="str">
            <v>JABODETABEK (INNER)</v>
          </cell>
          <cell r="J195" t="str">
            <v>JAKARTA SELATAN</v>
          </cell>
          <cell r="K195" t="str">
            <v>SMARTFREN</v>
          </cell>
          <cell r="L195" t="str">
            <v>-</v>
          </cell>
          <cell r="M195"/>
          <cell r="N195"/>
          <cell r="O195"/>
          <cell r="P195"/>
          <cell r="Q195"/>
          <cell r="R195" t="str">
            <v>KLS</v>
          </cell>
          <cell r="S195" t="str">
            <v>Aditya Rachaman</v>
          </cell>
          <cell r="T195"/>
          <cell r="U195" t="str">
            <v>RFI</v>
          </cell>
          <cell r="V195" t="str">
            <v>21. RFI</v>
          </cell>
          <cell r="W195"/>
          <cell r="X195"/>
          <cell r="Y195"/>
          <cell r="Z195" t="e">
            <v>#N/A</v>
          </cell>
          <cell r="AA195" t="str">
            <v>RFI</v>
          </cell>
          <cell r="AB195"/>
          <cell r="AC195"/>
          <cell r="AD195"/>
          <cell r="AE195" t="str">
            <v>25.11.19 : curing time
20.11.19 : galian
11.11.19 : IW OG (finalisasi skema KLS)
04.11.19 : IW OG 
25.10.19 : hasil review TNP OK untuk ketinggian 20m
23.10.19 : submit panoramic by drone 
18.10.19 : IW on going, lahan fasum
15.10.19 : kandidat A OK
11.10.19 : submit kandidat A</v>
          </cell>
          <cell r="AF195"/>
          <cell r="AG195"/>
          <cell r="AH195"/>
          <cell r="AI195"/>
          <cell r="AJ195"/>
          <cell r="AK195"/>
          <cell r="AL195"/>
          <cell r="AM195"/>
          <cell r="AN195"/>
          <cell r="AO195"/>
          <cell r="AP195"/>
        </row>
        <row r="196">
          <cell r="A196" t="str">
            <v>BOG0175</v>
          </cell>
          <cell r="B196">
            <v>23055075231</v>
          </cell>
          <cell r="C196">
            <v>125964123</v>
          </cell>
          <cell r="D196" t="str">
            <v>BOG0175</v>
          </cell>
          <cell r="E196" t="str">
            <v>PANDANSARI CIAWI</v>
          </cell>
          <cell r="F196">
            <v>43749</v>
          </cell>
          <cell r="G196" t="str">
            <v>OKT 2019</v>
          </cell>
          <cell r="H196">
            <v>439</v>
          </cell>
          <cell r="I196" t="str">
            <v>JABODETABEK (OUTER)</v>
          </cell>
          <cell r="J196" t="str">
            <v>BOGOR</v>
          </cell>
          <cell r="K196" t="str">
            <v>SMARTFREN</v>
          </cell>
          <cell r="L196" t="str">
            <v>-</v>
          </cell>
          <cell r="M196"/>
          <cell r="N196"/>
          <cell r="O196"/>
          <cell r="P196"/>
          <cell r="Q196"/>
          <cell r="R196" t="str">
            <v>MIT</v>
          </cell>
          <cell r="S196" t="str">
            <v>Handri Purnama</v>
          </cell>
          <cell r="T196"/>
          <cell r="U196" t="str">
            <v>RFI</v>
          </cell>
          <cell r="V196" t="str">
            <v>21. RFI</v>
          </cell>
          <cell r="W196"/>
          <cell r="X196"/>
          <cell r="Y196"/>
          <cell r="Z196" t="e">
            <v>#N/A</v>
          </cell>
          <cell r="AA196" t="str">
            <v>RFI</v>
          </cell>
          <cell r="AB196"/>
          <cell r="AC196"/>
          <cell r="AD196"/>
          <cell r="AE196" t="str">
            <v>28.11.19 : rekom lurah on going
25.11.19 : realisasi sitac
22.11.19 : GSS OK, eskalasi approve
15.11.19 : harga BAN sudah deal 20jt/thn, proses cek GSS
11.11.19 : harga BAN tinggi 30jt/thn, IW clear
06.11.19 : kandidat D OK
04.11.19 : validasi kandidat D
24.10.19 : submit kandidat D
20.10.19 : gagal sitac kandidat A, LL tidak jadi menyewakan 
18.10.19 : BAN kandidat A OG
15.10.19 : kandidat A OK, kandidat B dan C NOK
11.10.19 : submit kandidat A, B, dan C</v>
          </cell>
          <cell r="AF196"/>
          <cell r="AG196"/>
          <cell r="AH196"/>
          <cell r="AI196"/>
          <cell r="AJ196"/>
          <cell r="AK196"/>
          <cell r="AL196"/>
          <cell r="AM196"/>
          <cell r="AN196"/>
          <cell r="AO196"/>
          <cell r="AP196"/>
        </row>
        <row r="197">
          <cell r="A197" t="str">
            <v>Jabo_Outer_add_023</v>
          </cell>
          <cell r="B197">
            <v>23054782231</v>
          </cell>
          <cell r="C197">
            <v>125928123</v>
          </cell>
          <cell r="D197" t="str">
            <v>Jabo_Outer_add_023</v>
          </cell>
          <cell r="E197" t="str">
            <v>PAMIJAHAN BOGOR</v>
          </cell>
          <cell r="F197">
            <v>43710</v>
          </cell>
          <cell r="G197" t="str">
            <v>SEPT 2019</v>
          </cell>
          <cell r="H197">
            <v>478</v>
          </cell>
          <cell r="I197" t="str">
            <v>JABODETABEK (OUTER)</v>
          </cell>
          <cell r="J197" t="str">
            <v>BOGOR</v>
          </cell>
          <cell r="K197" t="str">
            <v>SMARTFREN</v>
          </cell>
          <cell r="L197" t="str">
            <v>-</v>
          </cell>
          <cell r="M197"/>
          <cell r="N197">
            <v>-6.634404</v>
          </cell>
          <cell r="O197"/>
          <cell r="P197">
            <v>106.671815</v>
          </cell>
          <cell r="Q197"/>
          <cell r="R197" t="str">
            <v>BNP</v>
          </cell>
          <cell r="S197" t="str">
            <v>Aditya Rachaman</v>
          </cell>
          <cell r="T197"/>
          <cell r="U197" t="str">
            <v>RFI</v>
          </cell>
          <cell r="V197" t="str">
            <v>21. RFI</v>
          </cell>
          <cell r="W197"/>
          <cell r="X197"/>
          <cell r="Y197"/>
          <cell r="Z197" t="e">
            <v>#N/A</v>
          </cell>
          <cell r="AA197" t="str">
            <v>RFI</v>
          </cell>
          <cell r="AB197"/>
          <cell r="AC197"/>
          <cell r="AD197"/>
          <cell r="AE197" t="str">
            <v xml:space="preserve">19.11.19 : RFI
13.11.19 : erection
11.11.19 : curing time
04.11.19 : rekom done, proses RFL
25.10.19 : rekom lurah on going
18.10.19 : eskalasi approved, prepare realisasi sitac
15.10.19 : kandidat E OK, submit eskalasi
10.10.19 : gagal sitac kandidat B dan C (reject IW), submit kandidat E
07.10.19 : kandidat B dan C OK, D NOK, BAN og
02.10.19 : submit kandidat B, C, D, ke Mas Jafar
30.09.19 : kandidat B, C, dan D waiting JR
26.09.19 : rehunting
20.09.19 : masih nego harga
09.09.19 : harga BAN 20jt, LL meminta skema normal 10tahun, plan nego by TBG 
05.09.19 : approve TNP oleh Pak Olly
04.09.19 : approve RNP oleh Pak Parlin
</v>
          </cell>
          <cell r="AF197"/>
          <cell r="AG197"/>
          <cell r="AH197"/>
          <cell r="AI197"/>
          <cell r="AJ197"/>
          <cell r="AK197"/>
          <cell r="AL197"/>
          <cell r="AM197"/>
          <cell r="AN197"/>
          <cell r="AO197"/>
          <cell r="AP197"/>
        </row>
        <row r="198">
          <cell r="A198" t="str">
            <v>Jabo_Outer_add_024</v>
          </cell>
          <cell r="B198">
            <v>23054805231</v>
          </cell>
          <cell r="C198">
            <v>125943123</v>
          </cell>
          <cell r="D198" t="str">
            <v>Jabo_Outer_add_024</v>
          </cell>
          <cell r="E198" t="str">
            <v>TAJUR HALANG BOGOR</v>
          </cell>
          <cell r="F198">
            <v>43710</v>
          </cell>
          <cell r="G198" t="str">
            <v>SEPT 2019</v>
          </cell>
          <cell r="H198">
            <v>478</v>
          </cell>
          <cell r="I198" t="str">
            <v>JABODETABEK (OUTER)</v>
          </cell>
          <cell r="J198" t="str">
            <v>BOGOR</v>
          </cell>
          <cell r="K198" t="str">
            <v>SMARTFREN</v>
          </cell>
          <cell r="L198" t="str">
            <v>-</v>
          </cell>
          <cell r="M198"/>
          <cell r="N198">
            <v>-6.4543150000000002</v>
          </cell>
          <cell r="O198"/>
          <cell r="P198">
            <v>106.745279</v>
          </cell>
          <cell r="Q198"/>
          <cell r="R198" t="str">
            <v>PANEN</v>
          </cell>
          <cell r="S198"/>
          <cell r="T198"/>
          <cell r="U198" t="str">
            <v>RFI</v>
          </cell>
          <cell r="V198" t="str">
            <v>21. RFI</v>
          </cell>
          <cell r="W198"/>
          <cell r="X198"/>
          <cell r="Y198"/>
          <cell r="Z198" t="e">
            <v>#N/A</v>
          </cell>
          <cell r="AA198" t="str">
            <v>FP</v>
          </cell>
          <cell r="AB198"/>
          <cell r="AC198"/>
          <cell r="AD198"/>
          <cell r="AE198" t="str">
            <v xml:space="preserve">28.11.19 : galian pondasi OG ada penyetopan
20.11.19 : land clearing, ada penyetopan IW diluar radius
18.11.19 : rekom camat done
11.11.19 : rekom camat on going 
04.11.19 : rekom lurah
25.10.19 : rekom lurah on going
18.10.19 : prepare realisasi sitac
17.10.19 : eskalasi approved
16.10.19 : submit eskalasi
15.10.19 : kandidat C OK
11.10.19 : submit kandidat C
04.10.19 : geser 76m dari kandidat B, cek potensi IW sebelum validasi ulang
26.09.19 : kandidat B OK, reheight tower jadi 42m
18.09.19 : submit kandidat B, masih reject
10.09.19 : rehunting
05.09.19 : rehunting
04.09.19 : submit kandidat, kandidat reject oleh Pak Parlin
</v>
          </cell>
          <cell r="AF198"/>
          <cell r="AG198"/>
          <cell r="AH198"/>
          <cell r="AI198"/>
          <cell r="AJ198"/>
          <cell r="AK198"/>
          <cell r="AL198"/>
          <cell r="AM198"/>
          <cell r="AN198"/>
          <cell r="AO198"/>
          <cell r="AP198"/>
        </row>
        <row r="199">
          <cell r="A199" t="str">
            <v>JAK0527</v>
          </cell>
          <cell r="B199">
            <v>23055099231</v>
          </cell>
          <cell r="C199">
            <v>112687123</v>
          </cell>
          <cell r="D199" t="str">
            <v>JAK0527</v>
          </cell>
          <cell r="E199" t="str">
            <v>TANJUNG PRIOK</v>
          </cell>
          <cell r="F199">
            <v>43749</v>
          </cell>
          <cell r="G199" t="str">
            <v>OKT 2019</v>
          </cell>
          <cell r="H199">
            <v>439</v>
          </cell>
          <cell r="I199" t="str">
            <v>JABODETABEK (INNER)</v>
          </cell>
          <cell r="J199" t="str">
            <v>JAKARTA UTARA</v>
          </cell>
          <cell r="K199" t="str">
            <v>SMARTFREN</v>
          </cell>
          <cell r="L199" t="str">
            <v>-</v>
          </cell>
          <cell r="M199"/>
          <cell r="N199"/>
          <cell r="O199"/>
          <cell r="P199"/>
          <cell r="Q199"/>
          <cell r="R199" t="str">
            <v>KLS</v>
          </cell>
          <cell r="S199" t="str">
            <v>Aditya Rachaman</v>
          </cell>
          <cell r="T199"/>
          <cell r="U199" t="str">
            <v>RFI</v>
          </cell>
          <cell r="V199" t="str">
            <v>21. RFI</v>
          </cell>
          <cell r="W199"/>
          <cell r="X199"/>
          <cell r="Y199"/>
          <cell r="Z199" t="e">
            <v>#N/A</v>
          </cell>
          <cell r="AA199" t="str">
            <v>RFI</v>
          </cell>
          <cell r="AB199"/>
          <cell r="AC199"/>
          <cell r="AD199"/>
          <cell r="AE199" t="str">
            <v>25.11.19 : curing time
20.11.19 : galian
11.11.19 : IW OG (finalisasi skema KLS)
04.11.19 : IW OG 
25.10.19 : hasil review TNP OK untuk ketinggian 20m
23.10.19 : submit panoramic by drone 
18.10.19 : IW on going, lahan fasum
15.10.19 : kandidat A OK
11.10.19 : submit kandidat A</v>
          </cell>
          <cell r="AF199"/>
          <cell r="AG199"/>
          <cell r="AH199"/>
          <cell r="AI199"/>
          <cell r="AJ199"/>
          <cell r="AK199"/>
          <cell r="AL199"/>
          <cell r="AM199"/>
          <cell r="AN199"/>
          <cell r="AO199"/>
          <cell r="AP199"/>
        </row>
        <row r="200">
          <cell r="A200" t="str">
            <v>JAK1040</v>
          </cell>
          <cell r="B200">
            <v>23055072231</v>
          </cell>
          <cell r="C200">
            <v>131701123</v>
          </cell>
          <cell r="D200" t="str">
            <v>JAK1040</v>
          </cell>
          <cell r="E200" t="str">
            <v>TELUKNAGA</v>
          </cell>
          <cell r="F200">
            <v>43749</v>
          </cell>
          <cell r="G200" t="str">
            <v>OKT 2019</v>
          </cell>
          <cell r="H200">
            <v>439</v>
          </cell>
          <cell r="I200" t="str">
            <v>JABODETABEK (OUTER)</v>
          </cell>
          <cell r="J200" t="str">
            <v>TANGERANG</v>
          </cell>
          <cell r="K200" t="str">
            <v>SMARTFREN</v>
          </cell>
          <cell r="L200" t="str">
            <v>-</v>
          </cell>
          <cell r="M200"/>
          <cell r="N200"/>
          <cell r="O200"/>
          <cell r="P200"/>
          <cell r="Q200"/>
          <cell r="R200" t="str">
            <v>BNP</v>
          </cell>
          <cell r="S200" t="str">
            <v>Aditya Rachaman</v>
          </cell>
          <cell r="T200"/>
          <cell r="U200" t="str">
            <v>RFI</v>
          </cell>
          <cell r="V200" t="str">
            <v>21. RFI</v>
          </cell>
          <cell r="W200"/>
          <cell r="X200"/>
          <cell r="Y200"/>
          <cell r="Z200" t="e">
            <v>#N/A</v>
          </cell>
          <cell r="AA200" t="str">
            <v>RFI</v>
          </cell>
          <cell r="AB200"/>
          <cell r="AC200"/>
          <cell r="AD200"/>
          <cell r="AE200" t="str">
            <v>28.11.19 : RFC
18.11.19 : rekom lurcam OG
13.11.19 : eskalasi approve, prepare realisasi sitac
11.11.19 : waiting validasi kandidat D
08.11.19 : reject IW (vihara menolak untuk ttd), submit kandidat D yang IW sudah clear
04.11.19 : IW on going minus 3KK
25.10.19 : BAN 20jt/thn skema 2+3, IW on going
23.10.19 : kandidat C OK
18.10.19 : submit kandidat C
16.10.19 : kandidat B gagal IW, rehunting kadnidat C sesuai arahan pak parlin
15.10.19 : kandidat A NOK, kandidat B OK
11.10.19 : submit kandidat A dan B</v>
          </cell>
          <cell r="AF200"/>
          <cell r="AG200"/>
          <cell r="AH200"/>
          <cell r="AI200"/>
          <cell r="AJ200"/>
          <cell r="AK200"/>
          <cell r="AL200"/>
          <cell r="AM200"/>
          <cell r="AN200"/>
          <cell r="AO200"/>
          <cell r="AP200"/>
        </row>
        <row r="201">
          <cell r="A201" t="str">
            <v>JAK1014</v>
          </cell>
          <cell r="B201">
            <v>23054806231</v>
          </cell>
          <cell r="C201">
            <v>131698123</v>
          </cell>
          <cell r="D201" t="str">
            <v>JAK1014</v>
          </cell>
          <cell r="E201" t="str">
            <v>TIGARAKSA TANGERANG</v>
          </cell>
          <cell r="F201">
            <v>43710</v>
          </cell>
          <cell r="G201" t="str">
            <v>SEPT 2019</v>
          </cell>
          <cell r="H201">
            <v>478</v>
          </cell>
          <cell r="I201" t="str">
            <v>JABODETABEK (OUTER)</v>
          </cell>
          <cell r="J201" t="str">
            <v>TANGERANG</v>
          </cell>
          <cell r="K201" t="str">
            <v>SMARTFREN</v>
          </cell>
          <cell r="L201" t="str">
            <v>-</v>
          </cell>
          <cell r="M201"/>
          <cell r="N201">
            <v>-6.2295790000000002</v>
          </cell>
          <cell r="O201"/>
          <cell r="P201">
            <v>106.47313800000001</v>
          </cell>
          <cell r="Q201"/>
          <cell r="R201" t="str">
            <v>BNP</v>
          </cell>
          <cell r="S201" t="str">
            <v>Aditya Rachaman</v>
          </cell>
          <cell r="T201"/>
          <cell r="U201" t="str">
            <v>RFI</v>
          </cell>
          <cell r="V201" t="str">
            <v>21. RFI</v>
          </cell>
          <cell r="W201"/>
          <cell r="X201"/>
          <cell r="Y201"/>
          <cell r="Z201" t="e">
            <v>#N/A</v>
          </cell>
          <cell r="AA201" t="str">
            <v>RFI</v>
          </cell>
          <cell r="AB201"/>
          <cell r="AC201"/>
          <cell r="AD201"/>
          <cell r="AE201" t="str">
            <v>11.10.19 : RFI announce
09.10.19 : erection on going
07.10.19 : curing time
05.10.19 : pengecoran
26.09.19 : rekom lurcam, paralel galian
24.09.19 : eskalasi approved, realisasi sitac
19.09.19 : submit eskalasi to Pak hafidz
09.09.19 : sewa lahan 30juta, permintaan skema pembayaran normal, IW clear, plan nego by TBG
05.09.19 : approve TNP oleh Pak Olly
04.09.19 : approve RNP oleh Pak Parlin</v>
          </cell>
          <cell r="AF201"/>
          <cell r="AG201"/>
          <cell r="AH201"/>
          <cell r="AI201"/>
          <cell r="AJ201"/>
          <cell r="AK201"/>
          <cell r="AL201"/>
          <cell r="AM201"/>
          <cell r="AN201"/>
          <cell r="AO201"/>
          <cell r="AP201"/>
        </row>
        <row r="202">
          <cell r="A202" t="str">
            <v>JAW-JK-CKG-0247</v>
          </cell>
          <cell r="B202" t="e">
            <v>#N/A</v>
          </cell>
          <cell r="C202" t="e">
            <v>#N/A</v>
          </cell>
          <cell r="D202" t="str">
            <v>JAW-JK-CKG-0247</v>
          </cell>
          <cell r="E202" t="str">
            <v>Jalan Beringin Raya</v>
          </cell>
          <cell r="F202" t="e">
            <v>#N/A</v>
          </cell>
          <cell r="G202"/>
          <cell r="H202" t="e">
            <v>#N/A</v>
          </cell>
          <cell r="I202" t="e">
            <v>#N/A</v>
          </cell>
          <cell r="J202" t="e">
            <v>#N/A</v>
          </cell>
          <cell r="K202" t="str">
            <v>XL</v>
          </cell>
          <cell r="L202" t="e">
            <v>#N/A</v>
          </cell>
          <cell r="M202"/>
          <cell r="N202"/>
          <cell r="O202"/>
          <cell r="P202"/>
          <cell r="Q202"/>
          <cell r="R202" t="str">
            <v>Colo</v>
          </cell>
          <cell r="S202"/>
          <cell r="T202"/>
          <cell r="U202" t="str">
            <v>Change to colo</v>
          </cell>
          <cell r="V202" t="str">
            <v>Change to colo</v>
          </cell>
          <cell r="W202"/>
          <cell r="X202"/>
          <cell r="Y202"/>
          <cell r="Z202" t="e">
            <v>#N/A</v>
          </cell>
          <cell r="AA202" t="str">
            <v>Change to colo</v>
          </cell>
          <cell r="AB202"/>
          <cell r="AC202"/>
          <cell r="AD202"/>
          <cell r="AE202"/>
          <cell r="AF202"/>
          <cell r="AG202"/>
          <cell r="AH202"/>
          <cell r="AI202"/>
          <cell r="AJ202"/>
          <cell r="AK202"/>
          <cell r="AL202"/>
          <cell r="AM202"/>
          <cell r="AN202"/>
          <cell r="AO202"/>
          <cell r="AP202"/>
        </row>
        <row r="203">
          <cell r="A203" t="str">
            <v>JAW-JK-GGP-0526</v>
          </cell>
          <cell r="B203" t="e">
            <v>#N/A</v>
          </cell>
          <cell r="C203" t="e">
            <v>#N/A</v>
          </cell>
          <cell r="D203" t="str">
            <v>JAW-JK-GGP-0526</v>
          </cell>
          <cell r="E203" t="str">
            <v>Jalan Haji Aseni</v>
          </cell>
          <cell r="F203" t="e">
            <v>#N/A</v>
          </cell>
          <cell r="G203"/>
          <cell r="H203" t="e">
            <v>#N/A</v>
          </cell>
          <cell r="I203" t="e">
            <v>#N/A</v>
          </cell>
          <cell r="J203" t="e">
            <v>#N/A</v>
          </cell>
          <cell r="K203" t="str">
            <v>XL</v>
          </cell>
          <cell r="L203" t="e">
            <v>#N/A</v>
          </cell>
          <cell r="M203"/>
          <cell r="N203"/>
          <cell r="O203"/>
          <cell r="P203"/>
          <cell r="Q203"/>
          <cell r="R203" t="str">
            <v>Colo</v>
          </cell>
          <cell r="S203"/>
          <cell r="T203"/>
          <cell r="U203" t="str">
            <v>Change to colo</v>
          </cell>
          <cell r="V203" t="str">
            <v>Change to colo</v>
          </cell>
          <cell r="W203"/>
          <cell r="X203"/>
          <cell r="Y203"/>
          <cell r="Z203" t="e">
            <v>#N/A</v>
          </cell>
          <cell r="AA203" t="str">
            <v>Change to colo</v>
          </cell>
          <cell r="AB203"/>
          <cell r="AC203"/>
          <cell r="AD203"/>
          <cell r="AE203"/>
          <cell r="AF203"/>
          <cell r="AG203"/>
          <cell r="AH203"/>
          <cell r="AI203"/>
          <cell r="AJ203"/>
          <cell r="AK203"/>
          <cell r="AL203"/>
          <cell r="AM203"/>
          <cell r="AN203"/>
          <cell r="AO203"/>
          <cell r="AP203"/>
        </row>
        <row r="204">
          <cell r="A204" t="str">
            <v>JAW-JB-CBI-0083</v>
          </cell>
          <cell r="B204" t="e">
            <v>#N/A</v>
          </cell>
          <cell r="C204" t="e">
            <v>#N/A</v>
          </cell>
          <cell r="D204" t="str">
            <v>JAW-JB-CBI-0083</v>
          </cell>
          <cell r="E204" t="str">
            <v>Kahuripan Kemang</v>
          </cell>
          <cell r="F204" t="e">
            <v>#N/A</v>
          </cell>
          <cell r="G204"/>
          <cell r="H204" t="e">
            <v>#N/A</v>
          </cell>
          <cell r="I204" t="e">
            <v>#N/A</v>
          </cell>
          <cell r="J204" t="e">
            <v>#N/A</v>
          </cell>
          <cell r="K204" t="str">
            <v>XL</v>
          </cell>
          <cell r="L204" t="e">
            <v>#N/A</v>
          </cell>
          <cell r="M204"/>
          <cell r="N204"/>
          <cell r="O204"/>
          <cell r="P204"/>
          <cell r="Q204"/>
          <cell r="R204" t="str">
            <v>Colo</v>
          </cell>
          <cell r="S204"/>
          <cell r="T204"/>
          <cell r="U204" t="str">
            <v>Change to colo</v>
          </cell>
          <cell r="V204" t="str">
            <v>Change to colo</v>
          </cell>
          <cell r="W204"/>
          <cell r="X204"/>
          <cell r="Y204"/>
          <cell r="Z204" t="e">
            <v>#N/A</v>
          </cell>
          <cell r="AA204" t="str">
            <v>Change to colo</v>
          </cell>
          <cell r="AB204"/>
          <cell r="AC204"/>
          <cell r="AD204"/>
          <cell r="AE204"/>
          <cell r="AF204"/>
          <cell r="AG204"/>
          <cell r="AH204"/>
          <cell r="AI204"/>
          <cell r="AJ204"/>
          <cell r="AK204"/>
          <cell r="AL204"/>
          <cell r="AM204"/>
          <cell r="AN204"/>
          <cell r="AO204"/>
          <cell r="AP204"/>
        </row>
        <row r="205">
          <cell r="A205" t="str">
            <v>03BKS547</v>
          </cell>
          <cell r="B205">
            <v>4055261041</v>
          </cell>
          <cell r="C205">
            <v>125975104</v>
          </cell>
          <cell r="D205" t="str">
            <v>03BKS547</v>
          </cell>
          <cell r="E205" t="str">
            <v>RW.TEMBAGA2_BKS</v>
          </cell>
          <cell r="F205">
            <v>43759</v>
          </cell>
          <cell r="G205" t="str">
            <v>OKT 2019</v>
          </cell>
          <cell r="H205">
            <v>429</v>
          </cell>
          <cell r="I205" t="str">
            <v>JABODETABEK (OUTER)</v>
          </cell>
          <cell r="J205" t="str">
            <v>KOTA BEKASI</v>
          </cell>
          <cell r="K205" t="str">
            <v>ISAT</v>
          </cell>
          <cell r="L205" t="str">
            <v>-</v>
          </cell>
          <cell r="M205"/>
          <cell r="N205"/>
          <cell r="O205"/>
          <cell r="P205"/>
          <cell r="Q205"/>
          <cell r="R205" t="str">
            <v>Colo</v>
          </cell>
          <cell r="S205"/>
          <cell r="T205"/>
          <cell r="U205" t="str">
            <v>Change to colo</v>
          </cell>
          <cell r="V205" t="str">
            <v>Change to colo</v>
          </cell>
          <cell r="W205"/>
          <cell r="X205"/>
          <cell r="Y205"/>
          <cell r="Z205" t="e">
            <v>#N/A</v>
          </cell>
          <cell r="AA205" t="str">
            <v>Proposed colo</v>
          </cell>
          <cell r="AB205"/>
          <cell r="AC205"/>
          <cell r="AD205"/>
          <cell r="AE205" t="str">
            <v>11.11.19 : proposed colo</v>
          </cell>
          <cell r="AF205"/>
          <cell r="AG205"/>
          <cell r="AH205"/>
          <cell r="AI205"/>
          <cell r="AJ205"/>
          <cell r="AK205"/>
          <cell r="AL205"/>
          <cell r="AM205"/>
          <cell r="AN205"/>
          <cell r="AO205"/>
          <cell r="AP205"/>
        </row>
        <row r="206">
          <cell r="A206" t="str">
            <v>BOG0184</v>
          </cell>
          <cell r="B206">
            <v>23054780231</v>
          </cell>
          <cell r="C206">
            <v>125926123</v>
          </cell>
          <cell r="D206" t="str">
            <v>BOG0184</v>
          </cell>
          <cell r="E206" t="str">
            <v>BOGOR TENGAH</v>
          </cell>
          <cell r="F206">
            <v>43710</v>
          </cell>
          <cell r="G206" t="str">
            <v>SEPT 2019</v>
          </cell>
          <cell r="H206">
            <v>478</v>
          </cell>
          <cell r="I206" t="str">
            <v>JABODETABEK (OUTER)</v>
          </cell>
          <cell r="J206" t="str">
            <v>KOTA BOGOR</v>
          </cell>
          <cell r="K206" t="str">
            <v>SMARTFREN</v>
          </cell>
          <cell r="L206" t="str">
            <v>-</v>
          </cell>
          <cell r="M206"/>
          <cell r="N206">
            <v>-6.5839100000000004</v>
          </cell>
          <cell r="O206"/>
          <cell r="P206">
            <v>106.793774</v>
          </cell>
          <cell r="Q206"/>
          <cell r="R206" t="str">
            <v>Turangga</v>
          </cell>
          <cell r="S206" t="str">
            <v>Aditya Rachaman</v>
          </cell>
          <cell r="T206"/>
          <cell r="U206" t="str">
            <v>Drop by OPR</v>
          </cell>
          <cell r="V206" t="str">
            <v>Drop by OPR</v>
          </cell>
          <cell r="W206"/>
          <cell r="X206"/>
          <cell r="Y206"/>
          <cell r="Z206" t="e">
            <v>#N/A</v>
          </cell>
          <cell r="AA206" t="str">
            <v>rehunting kandidat F</v>
          </cell>
          <cell r="AB206"/>
          <cell r="AC206"/>
          <cell r="AD206"/>
          <cell r="AE206" t="str">
            <v xml:space="preserve">28.11.19 : rehunting 
11.11.19 : rehunting
04.11.19 : rehunting kandidat F
25.10.19 : rehunting kandidat F sesuai arahan
23.10.19 : kandidat E NOK
21.10.19 : submit kandidat E
13.10.19 : gagal IW
07.10.19 : kandidat C dan D OK, BAN on going
02.10.19 : Submit kembali kandidat C dan D ke mas jafar with JR
30.09.19 : LL tidak jadi untuk menyewakan, rehunting kandidat F
26.09.19 : kandidat B, C, D, NOK. kandidat E OK, BAN OG
24.09.19 : submit kandidat B, C, D, E
18.09.19 : Submit kandidat B, masih NOK
09.09.19 : LL belum bisa ditemuin, on going hunting arahan untuk kandidat cadangan
05.09.19 : approve TNP oleh Pak Olly
04.09.19 : approve RNP oleh Pak Parlin
</v>
          </cell>
          <cell r="AF206"/>
          <cell r="AG206"/>
          <cell r="AH206"/>
          <cell r="AI206"/>
          <cell r="AJ206"/>
          <cell r="AK206"/>
          <cell r="AL206"/>
          <cell r="AM206"/>
          <cell r="AN206"/>
          <cell r="AO206"/>
          <cell r="AP206"/>
        </row>
        <row r="207">
          <cell r="A207" t="str">
            <v>JAK0298</v>
          </cell>
          <cell r="B207">
            <v>23055070231</v>
          </cell>
          <cell r="C207">
            <v>125963123</v>
          </cell>
          <cell r="D207" t="str">
            <v>JAK0298</v>
          </cell>
          <cell r="E207" t="str">
            <v>CIKARANG TIMUR</v>
          </cell>
          <cell r="F207">
            <v>43749</v>
          </cell>
          <cell r="G207" t="str">
            <v>OKT 2019</v>
          </cell>
          <cell r="H207">
            <v>439</v>
          </cell>
          <cell r="I207" t="str">
            <v>JABODETABEK (OUTER)</v>
          </cell>
          <cell r="J207" t="str">
            <v>BEKASI</v>
          </cell>
          <cell r="K207" t="str">
            <v>SMARTFREN</v>
          </cell>
          <cell r="L207" t="str">
            <v>-</v>
          </cell>
          <cell r="M207"/>
          <cell r="N207"/>
          <cell r="O207"/>
          <cell r="P207"/>
          <cell r="Q207"/>
          <cell r="R207" t="str">
            <v>plan MKI</v>
          </cell>
          <cell r="S207"/>
          <cell r="T207"/>
          <cell r="U207" t="str">
            <v>Drop by OPR</v>
          </cell>
          <cell r="V207" t="str">
            <v>Drop by OPR</v>
          </cell>
          <cell r="W207"/>
          <cell r="X207"/>
          <cell r="Y207"/>
          <cell r="Z207" t="e">
            <v>#N/A</v>
          </cell>
          <cell r="AA207" t="str">
            <v>Kandidat B OK, proses BAN dan paralel IW</v>
          </cell>
          <cell r="AB207"/>
          <cell r="AC207"/>
          <cell r="AD207"/>
          <cell r="AE207" t="str">
            <v>28.11.19 : kandidat B OK, take over mitra
11.11.19 : kandidat A reject IW, rehunting kandidat B
04.11.19 : BAN OG
25.10.19 : BAN OG kandidat A, paralel IW
21.10.19 : assign to mitra Triyasa 
18.10.19 : kandidat A OK
12.10.19 : submit kandidat A</v>
          </cell>
          <cell r="AF207"/>
          <cell r="AG207"/>
          <cell r="AH207"/>
          <cell r="AI207"/>
          <cell r="AJ207"/>
          <cell r="AK207"/>
          <cell r="AL207"/>
          <cell r="AM207"/>
          <cell r="AN207"/>
          <cell r="AO207"/>
          <cell r="AP207"/>
        </row>
        <row r="208">
          <cell r="A208" t="str">
            <v>JAK0354</v>
          </cell>
          <cell r="B208">
            <v>230553930231</v>
          </cell>
          <cell r="C208">
            <v>1126991023</v>
          </cell>
          <cell r="D208" t="str">
            <v>ZJKT2_5291</v>
          </cell>
          <cell r="E208" t="str">
            <v>KEBON JERUK 354</v>
          </cell>
          <cell r="F208">
            <v>43789</v>
          </cell>
          <cell r="G208" t="str">
            <v>NOV 2019</v>
          </cell>
          <cell r="H208">
            <v>399</v>
          </cell>
          <cell r="I208" t="str">
            <v>JABODETABEK (INNER)</v>
          </cell>
          <cell r="J208" t="str">
            <v>JAKARTA BARAT</v>
          </cell>
          <cell r="K208" t="str">
            <v>SMARTFREN</v>
          </cell>
          <cell r="L208" t="str">
            <v>-</v>
          </cell>
          <cell r="M208"/>
          <cell r="N208"/>
          <cell r="O208"/>
          <cell r="P208"/>
          <cell r="Q208"/>
          <cell r="R208" t="str">
            <v>KLS</v>
          </cell>
          <cell r="S208" t="str">
            <v>Aditya Rachaman</v>
          </cell>
          <cell r="T208"/>
          <cell r="U208" t="str">
            <v>PRE SITAC</v>
          </cell>
          <cell r="V208" t="str">
            <v>02. Rehunting</v>
          </cell>
          <cell r="W208"/>
          <cell r="X208"/>
          <cell r="Y208"/>
          <cell r="Z208" t="e">
            <v>#N/A</v>
          </cell>
          <cell r="AA208" t="str">
            <v>Kandidat A NOK, rehunting kand B,Waiting validasi,Need Arahan kand. B, informasi kand a nama kodam jaya,Status Validasi,
sengketa lahan antara LL dan kodam. senin</v>
          </cell>
          <cell r="AB208"/>
          <cell r="AC208"/>
          <cell r="AD208"/>
          <cell r="AE208" t="str">
            <v>28.11.19 : kandidat A NOK, rehunting kandidat B
25.11.19 : hunting kandidat A</v>
          </cell>
          <cell r="AF208"/>
          <cell r="AG208"/>
          <cell r="AH208"/>
          <cell r="AI208"/>
          <cell r="AJ208"/>
          <cell r="AK208"/>
          <cell r="AL208"/>
          <cell r="AM208"/>
          <cell r="AN208"/>
          <cell r="AO208"/>
          <cell r="AP208"/>
        </row>
        <row r="209">
          <cell r="A209" t="str">
            <v>JAW-BT-TNG-1463</v>
          </cell>
          <cell r="B209">
            <v>30572560031</v>
          </cell>
          <cell r="C209">
            <v>1317751003</v>
          </cell>
          <cell r="D209" t="str">
            <v>JAW-BT-TNG-1463</v>
          </cell>
          <cell r="E209" t="str">
            <v>MAULANA HASANUDIN CIPONDOH MAKMUR</v>
          </cell>
          <cell r="F209">
            <v>43844</v>
          </cell>
          <cell r="G209" t="str">
            <v>JAN 2020</v>
          </cell>
          <cell r="H209">
            <v>344</v>
          </cell>
          <cell r="I209" t="str">
            <v>JABODETABEK (INNER)</v>
          </cell>
          <cell r="J209" t="str">
            <v>KOTA TANGERANG</v>
          </cell>
          <cell r="K209" t="str">
            <v>XL</v>
          </cell>
          <cell r="L209" t="str">
            <v>-</v>
          </cell>
          <cell r="M209"/>
          <cell r="N209"/>
          <cell r="O209"/>
          <cell r="P209"/>
          <cell r="Q209"/>
          <cell r="R209" t="str">
            <v>CTP</v>
          </cell>
          <cell r="S209" t="str">
            <v>Handri Purnama</v>
          </cell>
          <cell r="T209"/>
          <cell r="U209" t="str">
            <v>Drop by OPR</v>
          </cell>
          <cell r="V209" t="str">
            <v>Drop by OPR</v>
          </cell>
          <cell r="W209"/>
          <cell r="X209"/>
          <cell r="Y209"/>
          <cell r="Z209" t="e">
            <v>#N/A</v>
          </cell>
          <cell r="AA209" t="str">
            <v>Drop by XL,perubahan planning</v>
          </cell>
          <cell r="AB209" t="str">
            <v>-</v>
          </cell>
          <cell r="AC209" t="str">
            <v>-</v>
          </cell>
          <cell r="AD209" t="str">
            <v>-</v>
          </cell>
          <cell r="AE209"/>
          <cell r="AF209"/>
          <cell r="AG209"/>
          <cell r="AH209"/>
          <cell r="AI209"/>
          <cell r="AJ209"/>
          <cell r="AK209"/>
          <cell r="AL209"/>
          <cell r="AM209"/>
          <cell r="AN209"/>
          <cell r="AO209"/>
          <cell r="AP209"/>
        </row>
        <row r="210">
          <cell r="A210" t="str">
            <v>Jabo Inner_Add_026</v>
          </cell>
          <cell r="B210">
            <v>230554000231</v>
          </cell>
          <cell r="C210">
            <v>1127061023</v>
          </cell>
          <cell r="D210" t="str">
            <v>ZJKT2_5527</v>
          </cell>
          <cell r="E210" t="str">
            <v>MENTENG 026</v>
          </cell>
          <cell r="F210">
            <v>43789</v>
          </cell>
          <cell r="G210" t="str">
            <v>NOV 2019</v>
          </cell>
          <cell r="H210">
            <v>399</v>
          </cell>
          <cell r="I210" t="str">
            <v>JABODETABEK (INNER)</v>
          </cell>
          <cell r="J210" t="str">
            <v>JAKARTA PUSAT</v>
          </cell>
          <cell r="K210" t="str">
            <v>SMARTFREN</v>
          </cell>
          <cell r="L210" t="str">
            <v>-</v>
          </cell>
          <cell r="M210"/>
          <cell r="N210"/>
          <cell r="O210"/>
          <cell r="P210"/>
          <cell r="Q210"/>
          <cell r="R210" t="str">
            <v>KLS</v>
          </cell>
          <cell r="S210" t="str">
            <v>Aditya Rachaman</v>
          </cell>
          <cell r="T210"/>
          <cell r="U210" t="str">
            <v>Drop by OPR</v>
          </cell>
          <cell r="V210" t="str">
            <v>Drop by OPR</v>
          </cell>
          <cell r="W210"/>
          <cell r="X210"/>
          <cell r="Y210"/>
          <cell r="Z210" t="e">
            <v>#N/A</v>
          </cell>
          <cell r="AA210" t="str">
            <v>Kandidat A NOK, rehunting kand B</v>
          </cell>
          <cell r="AB210"/>
          <cell r="AC210"/>
          <cell r="AD210"/>
          <cell r="AE210" t="str">
            <v>28.11.19 : kandidat A NOK, rehunting kandidat B
25.11.19 : hunting kandidat A</v>
          </cell>
          <cell r="AF210"/>
          <cell r="AG210"/>
          <cell r="AH210"/>
          <cell r="AI210"/>
          <cell r="AJ210"/>
          <cell r="AK210"/>
          <cell r="AL210"/>
          <cell r="AM210"/>
          <cell r="AN210"/>
          <cell r="AO210"/>
          <cell r="AP210"/>
        </row>
        <row r="211">
          <cell r="A211" t="str">
            <v>JAW-BT-CPT-0448</v>
          </cell>
          <cell r="B211" t="e">
            <v>#N/A</v>
          </cell>
          <cell r="C211" t="e">
            <v>#N/A</v>
          </cell>
          <cell r="D211" t="str">
            <v>JAW-BT-CPT-0448</v>
          </cell>
          <cell r="E211" t="str">
            <v>Pinguin Pondok Aren</v>
          </cell>
          <cell r="F211" t="e">
            <v>#N/A</v>
          </cell>
          <cell r="G211"/>
          <cell r="H211" t="e">
            <v>#N/A</v>
          </cell>
          <cell r="I211" t="e">
            <v>#N/A</v>
          </cell>
          <cell r="J211" t="str">
            <v>TANGERANG SELATAN</v>
          </cell>
          <cell r="K211" t="str">
            <v>XL</v>
          </cell>
          <cell r="L211" t="e">
            <v>#N/A</v>
          </cell>
          <cell r="M211"/>
          <cell r="N211"/>
          <cell r="O211"/>
          <cell r="P211"/>
          <cell r="Q211"/>
          <cell r="R211" t="str">
            <v>LBL</v>
          </cell>
          <cell r="S211" t="str">
            <v>Handri Purnama</v>
          </cell>
          <cell r="T211"/>
          <cell r="U211" t="str">
            <v>Drop by OPR</v>
          </cell>
          <cell r="V211" t="str">
            <v>Drop by OPR</v>
          </cell>
          <cell r="W211"/>
          <cell r="X211"/>
          <cell r="Y211"/>
          <cell r="Z211" t="e">
            <v>#N/A</v>
          </cell>
          <cell r="AA211" t="str">
            <v>Drop by XL, dekat eksisting XL</v>
          </cell>
          <cell r="AB211"/>
          <cell r="AC211"/>
          <cell r="AD211"/>
          <cell r="AE211"/>
          <cell r="AF211"/>
          <cell r="AG211"/>
          <cell r="AH211"/>
          <cell r="AI211"/>
          <cell r="AJ211"/>
          <cell r="AK211"/>
          <cell r="AL211"/>
          <cell r="AM211"/>
          <cell r="AN211"/>
          <cell r="AO211"/>
          <cell r="AP211"/>
        </row>
        <row r="212">
          <cell r="A212" t="str">
            <v>Jabo_Outer_add_016</v>
          </cell>
          <cell r="B212">
            <v>23054783231</v>
          </cell>
          <cell r="C212">
            <v>125929123</v>
          </cell>
          <cell r="D212" t="str">
            <v>Jabo_Outer_add_016</v>
          </cell>
          <cell r="E212" t="str">
            <v>PONDOKGEDE BEKASI</v>
          </cell>
          <cell r="F212">
            <v>43710</v>
          </cell>
          <cell r="G212" t="str">
            <v>SEPT 2019</v>
          </cell>
          <cell r="H212">
            <v>478</v>
          </cell>
          <cell r="I212" t="str">
            <v>JABODETABEK (OUTER)</v>
          </cell>
          <cell r="J212" t="str">
            <v>KOTA BEKASI</v>
          </cell>
          <cell r="K212" t="str">
            <v>SMARTFREN</v>
          </cell>
          <cell r="L212" t="str">
            <v>-</v>
          </cell>
          <cell r="M212"/>
          <cell r="N212">
            <v>-6.255706</v>
          </cell>
          <cell r="O212"/>
          <cell r="P212">
            <v>106.91681199999999</v>
          </cell>
          <cell r="Q212"/>
          <cell r="R212" t="str">
            <v>KLS</v>
          </cell>
          <cell r="S212" t="str">
            <v>Aditya Rachaman</v>
          </cell>
          <cell r="T212"/>
          <cell r="U212" t="str">
            <v>Drop by OPR</v>
          </cell>
          <cell r="V212" t="str">
            <v>Drop by OPR</v>
          </cell>
          <cell r="W212"/>
          <cell r="X212"/>
          <cell r="Y212"/>
          <cell r="Z212" t="e">
            <v>#N/A</v>
          </cell>
          <cell r="AA212" t="str">
            <v>kandidat B OK, approve mcp 20m</v>
          </cell>
          <cell r="AB212"/>
          <cell r="AC212"/>
          <cell r="AD212"/>
          <cell r="AE212" t="str">
            <v>26.09.19 : secara titik kand B OK, namun ketinggian NOK
18.09.19 : submit kandidat B, lahan fasum dengan ketinggian 20m
09.09.19 : rehunting, terdapat potensi lahan fasum fasos jarak 90m dari NOM
05.09.19 : rehunting
04.09.19 : lokasi berada dibawah runway bandara halim, submit kandidat, kandidat reject oleh Pak Parlin karena diluar SAR</v>
          </cell>
          <cell r="AF212"/>
          <cell r="AG212"/>
          <cell r="AH212"/>
          <cell r="AI212"/>
          <cell r="AJ212"/>
          <cell r="AK212"/>
          <cell r="AL212"/>
          <cell r="AM212"/>
          <cell r="AN212"/>
          <cell r="AO212"/>
          <cell r="AP212"/>
        </row>
        <row r="213">
          <cell r="A213" t="str">
            <v>BOG0139</v>
          </cell>
          <cell r="B213">
            <v>23055076231</v>
          </cell>
          <cell r="C213">
            <v>125965123</v>
          </cell>
          <cell r="D213" t="str">
            <v>BOG0139</v>
          </cell>
          <cell r="E213" t="str">
            <v>LOJI BOGOR BARAT</v>
          </cell>
          <cell r="F213">
            <v>43749</v>
          </cell>
          <cell r="G213" t="str">
            <v>OKT 2019</v>
          </cell>
          <cell r="H213">
            <v>439</v>
          </cell>
          <cell r="I213" t="str">
            <v>JABODETABEK (OUTER)</v>
          </cell>
          <cell r="J213" t="str">
            <v>KOTA BOGOR</v>
          </cell>
          <cell r="K213" t="str">
            <v>SMARTFREN</v>
          </cell>
          <cell r="L213" t="str">
            <v>-</v>
          </cell>
          <cell r="M213"/>
          <cell r="N213"/>
          <cell r="O213"/>
          <cell r="P213"/>
          <cell r="Q213"/>
          <cell r="R213" t="str">
            <v>Orlie</v>
          </cell>
          <cell r="S213" t="str">
            <v>Handri Purnama</v>
          </cell>
          <cell r="T213"/>
          <cell r="U213" t="str">
            <v>Drop by OPR</v>
          </cell>
          <cell r="V213" t="str">
            <v>Drop by OPR</v>
          </cell>
          <cell r="W213"/>
          <cell r="X213"/>
          <cell r="Y213"/>
          <cell r="Z213" t="e">
            <v>#N/A</v>
          </cell>
          <cell r="AA213" t="str">
            <v>Reject IW kandidat A, rehunting</v>
          </cell>
          <cell r="AB213"/>
          <cell r="AC213"/>
          <cell r="AD213"/>
          <cell r="AE213" t="str">
            <v>25.11.19 : kandidat A OK, terdapat provokator warga terdapat pergeseran 42m di LL yang sama
11.11.19 : proposed kembali kandidat A yang IW sudah clear
04.11.19 : validasi kandidat C
25.10.19 : submit kandidat C
18.10.19 : kandidat A dan B NOK
15.10.19 : submit kandidat A dan B</v>
          </cell>
          <cell r="AF213"/>
          <cell r="AG213"/>
          <cell r="AH213"/>
          <cell r="AI213"/>
          <cell r="AJ213"/>
          <cell r="AK213"/>
          <cell r="AL213"/>
          <cell r="AM213"/>
          <cell r="AN213"/>
          <cell r="AO213"/>
          <cell r="AP213"/>
        </row>
        <row r="214">
          <cell r="A214" t="str">
            <v>JAK0441</v>
          </cell>
          <cell r="B214">
            <v>230553990231</v>
          </cell>
          <cell r="C214">
            <v>1127051023</v>
          </cell>
          <cell r="D214" t="str">
            <v>ZJKT2_5318</v>
          </cell>
          <cell r="E214" t="str">
            <v>SENEN 441</v>
          </cell>
          <cell r="F214">
            <v>43789</v>
          </cell>
          <cell r="G214" t="str">
            <v>NOV 2019</v>
          </cell>
          <cell r="H214">
            <v>399</v>
          </cell>
          <cell r="I214" t="str">
            <v>JABODETABEK (INNER)</v>
          </cell>
          <cell r="J214" t="str">
            <v>JAKARTA PUSAT</v>
          </cell>
          <cell r="K214" t="str">
            <v>SMARTFREN</v>
          </cell>
          <cell r="L214" t="str">
            <v>-</v>
          </cell>
          <cell r="M214"/>
          <cell r="N214"/>
          <cell r="O214"/>
          <cell r="P214"/>
          <cell r="Q214"/>
          <cell r="R214" t="str">
            <v>KLS</v>
          </cell>
          <cell r="S214" t="str">
            <v>Aditya Rachaman</v>
          </cell>
          <cell r="T214"/>
          <cell r="U214" t="str">
            <v>Drop by OPR</v>
          </cell>
          <cell r="V214" t="str">
            <v>Drop by OPR</v>
          </cell>
          <cell r="W214"/>
          <cell r="X214"/>
          <cell r="Y214"/>
          <cell r="Z214" t="e">
            <v>#N/A</v>
          </cell>
          <cell r="AA214" t="str">
            <v>Kandidat A NOK, rehunting kand B</v>
          </cell>
          <cell r="AB214"/>
          <cell r="AC214"/>
          <cell r="AD214"/>
          <cell r="AE214" t="str">
            <v>28.11.19 : kandidat A NOK, rehunting kandidat B
25.11.19 : hunting kandidat A</v>
          </cell>
          <cell r="AF214"/>
          <cell r="AG214"/>
          <cell r="AH214"/>
          <cell r="AI214"/>
          <cell r="AJ214"/>
          <cell r="AK214"/>
          <cell r="AL214"/>
          <cell r="AM214"/>
          <cell r="AN214"/>
          <cell r="AO214"/>
          <cell r="AP214"/>
        </row>
        <row r="215">
          <cell r="A215" t="str">
            <v>JAW-BT-TNG-1453</v>
          </cell>
          <cell r="B215">
            <v>30573410031</v>
          </cell>
          <cell r="C215">
            <v>1317821003</v>
          </cell>
          <cell r="D215" t="str">
            <v>JAW-BT-TNG-1453</v>
          </cell>
          <cell r="E215" t="str">
            <v>Jalan Kakap Cibodas</v>
          </cell>
          <cell r="F215">
            <v>43846</v>
          </cell>
          <cell r="G215" t="str">
            <v>JAN 2020</v>
          </cell>
          <cell r="H215">
            <v>342</v>
          </cell>
          <cell r="I215" t="str">
            <v>JABODETABEK (INNER)</v>
          </cell>
          <cell r="J215" t="str">
            <v>KOTA TANGERANG</v>
          </cell>
          <cell r="K215" t="str">
            <v>XL</v>
          </cell>
          <cell r="L215" t="str">
            <v>-</v>
          </cell>
          <cell r="M215"/>
          <cell r="N215"/>
          <cell r="O215"/>
          <cell r="P215"/>
          <cell r="Q215"/>
          <cell r="R215" t="str">
            <v>MIT</v>
          </cell>
          <cell r="S215" t="str">
            <v>Handri Purnama</v>
          </cell>
          <cell r="T215"/>
          <cell r="U215" t="str">
            <v>Drop by OPR</v>
          </cell>
          <cell r="V215" t="str">
            <v>Drop by OPR</v>
          </cell>
          <cell r="W215"/>
          <cell r="X215"/>
          <cell r="Y215"/>
          <cell r="Z215" t="e">
            <v>#N/A</v>
          </cell>
          <cell r="AA215" t="str">
            <v>Return Due to perubahan plan XL</v>
          </cell>
          <cell r="AB215"/>
          <cell r="AC215" t="str">
            <v>-</v>
          </cell>
          <cell r="AD215" t="str">
            <v>-</v>
          </cell>
          <cell r="AE215"/>
          <cell r="AF215"/>
          <cell r="AG215"/>
          <cell r="AH215"/>
          <cell r="AI215"/>
          <cell r="AJ215"/>
          <cell r="AK215"/>
          <cell r="AL215"/>
          <cell r="AM215"/>
          <cell r="AN215"/>
          <cell r="AO215"/>
          <cell r="AP215"/>
        </row>
        <row r="216">
          <cell r="A216" t="str">
            <v>JAW-BT-TNG-1469</v>
          </cell>
          <cell r="B216">
            <v>30572610031</v>
          </cell>
          <cell r="C216">
            <v>1317801003</v>
          </cell>
          <cell r="D216" t="str">
            <v>JAW-BT-TNG-1469</v>
          </cell>
          <cell r="E216" t="str">
            <v>KEDAUNG WETAN</v>
          </cell>
          <cell r="F216">
            <v>43844</v>
          </cell>
          <cell r="G216" t="str">
            <v>JAN 2020</v>
          </cell>
          <cell r="H216">
            <v>344</v>
          </cell>
          <cell r="I216" t="str">
            <v>JABODETABEK (INNER)</v>
          </cell>
          <cell r="J216" t="str">
            <v>KOTA TANGERANG</v>
          </cell>
          <cell r="K216" t="str">
            <v>XL</v>
          </cell>
          <cell r="L216" t="str">
            <v>-</v>
          </cell>
          <cell r="M216"/>
          <cell r="N216"/>
          <cell r="O216"/>
          <cell r="P216"/>
          <cell r="Q216"/>
          <cell r="R216" t="str">
            <v>MIT</v>
          </cell>
          <cell r="S216" t="str">
            <v>Handri Purnama</v>
          </cell>
          <cell r="T216"/>
          <cell r="U216" t="str">
            <v>Drop by OPR</v>
          </cell>
          <cell r="V216" t="str">
            <v>Drop by OPR</v>
          </cell>
          <cell r="W216"/>
          <cell r="X216"/>
          <cell r="Y216"/>
          <cell r="Z216" t="e">
            <v>#N/A</v>
          </cell>
          <cell r="AA216" t="str">
            <v>Return Due to perubahan plan XL</v>
          </cell>
          <cell r="AB216"/>
          <cell r="AC216" t="str">
            <v>-</v>
          </cell>
          <cell r="AD216" t="str">
            <v>-</v>
          </cell>
          <cell r="AE216"/>
          <cell r="AF216"/>
          <cell r="AG216"/>
          <cell r="AH216"/>
          <cell r="AI216"/>
          <cell r="AJ216"/>
          <cell r="AK216"/>
          <cell r="AL216"/>
          <cell r="AM216"/>
          <cell r="AN216"/>
          <cell r="AO216"/>
          <cell r="AP216"/>
        </row>
        <row r="217">
          <cell r="A217" t="str">
            <v>JAK0526</v>
          </cell>
          <cell r="B217">
            <v>230553970231</v>
          </cell>
          <cell r="C217">
            <v>1127031023</v>
          </cell>
          <cell r="D217" t="str">
            <v>ZJKT2_5352</v>
          </cell>
          <cell r="E217" t="str">
            <v>SUNTER JAYA 526</v>
          </cell>
          <cell r="F217">
            <v>43789</v>
          </cell>
          <cell r="G217" t="str">
            <v>NOV 2019</v>
          </cell>
          <cell r="H217">
            <v>399</v>
          </cell>
          <cell r="I217" t="str">
            <v>JABODETABEK (INNER)</v>
          </cell>
          <cell r="J217" t="str">
            <v>JAKARTA UTARA</v>
          </cell>
          <cell r="K217" t="str">
            <v>SMARTFREN</v>
          </cell>
          <cell r="L217" t="str">
            <v>-</v>
          </cell>
          <cell r="M217"/>
          <cell r="N217"/>
          <cell r="O217"/>
          <cell r="P217"/>
          <cell r="Q217"/>
          <cell r="R217" t="str">
            <v>KLS</v>
          </cell>
          <cell r="S217" t="str">
            <v>Aditya Rachaman</v>
          </cell>
          <cell r="T217"/>
          <cell r="U217" t="str">
            <v>Drop by OPR</v>
          </cell>
          <cell r="V217" t="str">
            <v>Drop by OPR</v>
          </cell>
          <cell r="W217"/>
          <cell r="X217"/>
          <cell r="Y217"/>
          <cell r="Z217" t="e">
            <v>#N/A</v>
          </cell>
          <cell r="AA217" t="str">
            <v>Kandidat A NOK, rehunting kand B</v>
          </cell>
          <cell r="AB217"/>
          <cell r="AC217"/>
          <cell r="AD217"/>
          <cell r="AE217" t="str">
            <v>28.11.19 : kandidat A NOK, rehunting kandidat B
25.11.19 : hunting kandidat A</v>
          </cell>
          <cell r="AF217"/>
          <cell r="AG217"/>
          <cell r="AH217"/>
          <cell r="AI217"/>
          <cell r="AJ217"/>
          <cell r="AK217"/>
          <cell r="AL217"/>
          <cell r="AM217"/>
          <cell r="AN217"/>
          <cell r="AO217"/>
          <cell r="AP217"/>
        </row>
        <row r="218">
          <cell r="A218" t="str">
            <v>JAK0538</v>
          </cell>
          <cell r="B218">
            <v>230553980231</v>
          </cell>
          <cell r="C218">
            <v>1127041023</v>
          </cell>
          <cell r="D218" t="str">
            <v>ZJKT2_5356</v>
          </cell>
          <cell r="E218" t="str">
            <v>SUNTER JAYA 538</v>
          </cell>
          <cell r="F218">
            <v>43789</v>
          </cell>
          <cell r="G218" t="str">
            <v>NOV 2019</v>
          </cell>
          <cell r="H218">
            <v>399</v>
          </cell>
          <cell r="I218" t="str">
            <v>JABODETABEK (INNER)</v>
          </cell>
          <cell r="J218" t="str">
            <v>JAKARTA UTARA</v>
          </cell>
          <cell r="K218" t="str">
            <v>SMARTFREN</v>
          </cell>
          <cell r="L218" t="str">
            <v>-</v>
          </cell>
          <cell r="M218"/>
          <cell r="N218"/>
          <cell r="O218"/>
          <cell r="P218"/>
          <cell r="Q218"/>
          <cell r="R218" t="str">
            <v>KLS</v>
          </cell>
          <cell r="S218" t="str">
            <v>Aditya Rachaman</v>
          </cell>
          <cell r="T218"/>
          <cell r="U218" t="str">
            <v>Drop by OPR</v>
          </cell>
          <cell r="V218" t="str">
            <v>Drop by OPR</v>
          </cell>
          <cell r="W218"/>
          <cell r="X218"/>
          <cell r="Y218"/>
          <cell r="Z218" t="e">
            <v>#N/A</v>
          </cell>
          <cell r="AA218" t="str">
            <v>Kandidat A OK</v>
          </cell>
          <cell r="AB218"/>
          <cell r="AC218"/>
          <cell r="AD218"/>
          <cell r="AE218" t="str">
            <v>28.11.19 : kandidat A OK, IW OG 
25.11.19 : hunting kandidat A</v>
          </cell>
          <cell r="AF218"/>
          <cell r="AG218"/>
          <cell r="AH218"/>
          <cell r="AI218"/>
          <cell r="AJ218"/>
          <cell r="AK218"/>
          <cell r="AL218"/>
          <cell r="AM218"/>
          <cell r="AN218"/>
          <cell r="AO218"/>
          <cell r="AP218"/>
        </row>
        <row r="219">
          <cell r="A219" t="str">
            <v>JAW-BT-TNG-1455</v>
          </cell>
          <cell r="B219">
            <v>30572390031</v>
          </cell>
          <cell r="C219">
            <v>1317591003</v>
          </cell>
          <cell r="D219" t="str">
            <v>JAW-BT-TNG-1455</v>
          </cell>
          <cell r="E219" t="str">
            <v>Sunan Kalijaga Pesanggrahan</v>
          </cell>
          <cell r="F219">
            <v>43844</v>
          </cell>
          <cell r="G219" t="str">
            <v>JAN 2020</v>
          </cell>
          <cell r="H219">
            <v>344</v>
          </cell>
          <cell r="I219" t="str">
            <v>JABODETABEK (INNER)</v>
          </cell>
          <cell r="J219" t="str">
            <v>KOTA TANGERANG</v>
          </cell>
          <cell r="K219" t="str">
            <v>XL</v>
          </cell>
          <cell r="L219" t="str">
            <v>-</v>
          </cell>
          <cell r="M219"/>
          <cell r="N219"/>
          <cell r="O219"/>
          <cell r="P219"/>
          <cell r="Q219"/>
          <cell r="R219" t="str">
            <v>MIT</v>
          </cell>
          <cell r="S219" t="str">
            <v>Handri Purnama</v>
          </cell>
          <cell r="T219"/>
          <cell r="U219" t="str">
            <v>Drop by OPR</v>
          </cell>
          <cell r="V219" t="str">
            <v>Drop by OPR</v>
          </cell>
          <cell r="W219"/>
          <cell r="X219"/>
          <cell r="Y219"/>
          <cell r="Z219" t="e">
            <v>#N/A</v>
          </cell>
          <cell r="AA219" t="str">
            <v>Return Due to perubahan plan XL</v>
          </cell>
          <cell r="AB219"/>
          <cell r="AC219" t="str">
            <v>-</v>
          </cell>
          <cell r="AD219" t="str">
            <v>-</v>
          </cell>
          <cell r="AE219"/>
          <cell r="AF219"/>
          <cell r="AG219"/>
          <cell r="AH219"/>
          <cell r="AI219"/>
          <cell r="AJ219"/>
          <cell r="AK219"/>
          <cell r="AL219"/>
          <cell r="AM219"/>
          <cell r="AN219"/>
          <cell r="AO219"/>
          <cell r="AP219"/>
        </row>
        <row r="220">
          <cell r="A220" t="str">
            <v>Point 270</v>
          </cell>
          <cell r="B220">
            <v>23055096231</v>
          </cell>
          <cell r="C220">
            <v>112684123</v>
          </cell>
          <cell r="D220" t="str">
            <v>Point 270</v>
          </cell>
          <cell r="E220" t="str">
            <v>TAMAN SARI</v>
          </cell>
          <cell r="F220">
            <v>43749</v>
          </cell>
          <cell r="G220" t="str">
            <v>OKT 2019</v>
          </cell>
          <cell r="H220">
            <v>439</v>
          </cell>
          <cell r="I220" t="str">
            <v>JABODETABEK (INNER)</v>
          </cell>
          <cell r="J220" t="str">
            <v>JAKARTA BARAT</v>
          </cell>
          <cell r="K220" t="str">
            <v>SMARTFREN</v>
          </cell>
          <cell r="L220" t="str">
            <v>-</v>
          </cell>
          <cell r="M220"/>
          <cell r="N220"/>
          <cell r="O220"/>
          <cell r="P220"/>
          <cell r="Q220"/>
          <cell r="R220" t="str">
            <v>KLS</v>
          </cell>
          <cell r="S220" t="str">
            <v>Aditya Rachaman</v>
          </cell>
          <cell r="T220"/>
          <cell r="U220" t="str">
            <v>Drop by OPR</v>
          </cell>
          <cell r="V220" t="str">
            <v>Drop by OPR</v>
          </cell>
          <cell r="W220"/>
          <cell r="X220"/>
          <cell r="Y220"/>
          <cell r="Z220" t="e">
            <v>#N/A</v>
          </cell>
          <cell r="AA220" t="str">
            <v>rehunting kandidat D</v>
          </cell>
          <cell r="AB220"/>
          <cell r="AC220"/>
          <cell r="AD220"/>
          <cell r="AE220" t="str">
            <v>25.11.19 : rehunting 
11.11.19 : rehunting kandidat D
06.11.19 : kandidat C NOK, rehunting kandidat D
04.11.19 : submit kandidat C
28.10.19 : kandidat B NOK
25.10.19 : submit kandidat B
18.10.19 : rehunting arahan 
15.10.19 : kandidat A NOK, rehunting arahan
11.10.19 : submit kandidat A</v>
          </cell>
          <cell r="AF220"/>
          <cell r="AG220"/>
          <cell r="AH220"/>
          <cell r="AI220"/>
          <cell r="AJ220"/>
          <cell r="AK220"/>
          <cell r="AL220"/>
          <cell r="AM220"/>
          <cell r="AN220"/>
          <cell r="AO220"/>
          <cell r="AP220"/>
        </row>
        <row r="221">
          <cell r="A221" t="str">
            <v>ZJKT2_4576</v>
          </cell>
          <cell r="B221">
            <v>230560310231</v>
          </cell>
          <cell r="C221">
            <v>1317301023</v>
          </cell>
          <cell r="D221" t="str">
            <v>JAK0810</v>
          </cell>
          <cell r="E221" t="str">
            <v>PINANG 1</v>
          </cell>
          <cell r="F221">
            <v>43829</v>
          </cell>
          <cell r="G221" t="str">
            <v>DES 2019</v>
          </cell>
          <cell r="H221">
            <v>359</v>
          </cell>
          <cell r="I221" t="str">
            <v>JABODETABEK (INNER)</v>
          </cell>
          <cell r="J221" t="str">
            <v>KOTA TANGERANG</v>
          </cell>
          <cell r="K221" t="str">
            <v>SMARTFREN</v>
          </cell>
          <cell r="L221" t="str">
            <v>-</v>
          </cell>
          <cell r="M221"/>
          <cell r="N221"/>
          <cell r="O221"/>
          <cell r="P221"/>
          <cell r="Q221"/>
          <cell r="R221" t="str">
            <v>MIT</v>
          </cell>
          <cell r="S221" t="str">
            <v>Handri Purnama</v>
          </cell>
          <cell r="T221"/>
          <cell r="U221" t="str">
            <v>Drop by OPR</v>
          </cell>
          <cell r="V221" t="str">
            <v>Drop by OPR</v>
          </cell>
          <cell r="W221"/>
          <cell r="X221"/>
          <cell r="Y221"/>
          <cell r="Z221" t="e">
            <v>#N/A</v>
          </cell>
          <cell r="AA221" t="str">
            <v>Drop by SF</v>
          </cell>
          <cell r="AB221"/>
          <cell r="AC221" t="str">
            <v>-</v>
          </cell>
          <cell r="AD221" t="str">
            <v>-</v>
          </cell>
          <cell r="AE221"/>
          <cell r="AF221"/>
          <cell r="AG221"/>
          <cell r="AH221"/>
          <cell r="AI221"/>
          <cell r="AJ221"/>
          <cell r="AK221"/>
          <cell r="AL221"/>
          <cell r="AM221"/>
          <cell r="AN221"/>
          <cell r="AO221"/>
          <cell r="AP221"/>
        </row>
        <row r="222">
          <cell r="A222" t="str">
            <v>ZJKT2_6091</v>
          </cell>
          <cell r="B222" t="str">
            <v>0230582160231</v>
          </cell>
          <cell r="C222">
            <v>1318051023</v>
          </cell>
          <cell r="D222" t="str">
            <v>ZJKT2_6091</v>
          </cell>
          <cell r="E222" t="str">
            <v>Gandasari Tangerang</v>
          </cell>
          <cell r="F222">
            <v>43881</v>
          </cell>
          <cell r="G222" t="str">
            <v>FEB 2020</v>
          </cell>
          <cell r="H222"/>
          <cell r="I222" t="str">
            <v>Jabodetabek (Inner)</v>
          </cell>
          <cell r="J222" t="str">
            <v>KOTA TANGERANG</v>
          </cell>
          <cell r="K222" t="str">
            <v>SMARTFREN</v>
          </cell>
          <cell r="L222" t="str">
            <v>fleksible</v>
          </cell>
          <cell r="M222"/>
          <cell r="N222">
            <v>-6.2031080000000003</v>
          </cell>
          <cell r="O222">
            <v>-6.2031080000000003</v>
          </cell>
          <cell r="P222">
            <v>106.58034000000001</v>
          </cell>
          <cell r="Q222">
            <v>106.58034000000001</v>
          </cell>
          <cell r="R222" t="str">
            <v>NY MITRA</v>
          </cell>
          <cell r="S222"/>
          <cell r="T222"/>
          <cell r="U222" t="str">
            <v>SITAC</v>
          </cell>
          <cell r="V222" t="str">
            <v>05. BAN/BAK</v>
          </cell>
          <cell r="W222"/>
          <cell r="X222"/>
          <cell r="Y222"/>
          <cell r="Z222" t="str">
            <v>OK, 30m</v>
          </cell>
          <cell r="AA222" t="str">
            <v>Hasil Validasi OK, 30m</v>
          </cell>
          <cell r="AB222"/>
          <cell r="AC222"/>
          <cell r="AD222"/>
          <cell r="AE222"/>
          <cell r="AF222"/>
          <cell r="AG222"/>
          <cell r="AH222"/>
          <cell r="AI222" t="str">
            <v>STIP 8</v>
          </cell>
          <cell r="AJ222"/>
          <cell r="AK222"/>
          <cell r="AL222"/>
          <cell r="AM222"/>
          <cell r="AN222"/>
          <cell r="AO222"/>
          <cell r="AP222"/>
        </row>
        <row r="223">
          <cell r="A223" t="str">
            <v>ZJKT2_5899</v>
          </cell>
          <cell r="B223" t="str">
            <v>0230582190231</v>
          </cell>
          <cell r="C223">
            <v>1128101023</v>
          </cell>
          <cell r="D223" t="str">
            <v>ZJKT2_5899</v>
          </cell>
          <cell r="E223" t="str">
            <v>Jaktim Cakung Barat</v>
          </cell>
          <cell r="F223">
            <v>43881</v>
          </cell>
          <cell r="G223" t="str">
            <v>FEB 2020</v>
          </cell>
          <cell r="H223"/>
          <cell r="I223" t="str">
            <v>Jabodetabek (Inner)</v>
          </cell>
          <cell r="J223" t="str">
            <v>JAKARTA TIMUR</v>
          </cell>
          <cell r="K223" t="str">
            <v>SMARTFREN</v>
          </cell>
          <cell r="L223" t="str">
            <v>fleksible</v>
          </cell>
          <cell r="M223"/>
          <cell r="N223">
            <v>-6.1689420000000004</v>
          </cell>
          <cell r="O223"/>
          <cell r="P223">
            <v>106.9385</v>
          </cell>
          <cell r="Q223"/>
          <cell r="R223" t="str">
            <v>KLS</v>
          </cell>
          <cell r="S223" t="str">
            <v>Aditya Rachaman</v>
          </cell>
          <cell r="T223"/>
          <cell r="U223" t="str">
            <v>PRE SITAC</v>
          </cell>
          <cell r="V223" t="str">
            <v>04. Review TNP</v>
          </cell>
          <cell r="W223"/>
          <cell r="X223"/>
          <cell r="Y223"/>
          <cell r="Z223" t="str">
            <v>RF 25m</v>
          </cell>
          <cell r="AA223" t="str">
            <v>Panoramic memakai drone,senin 9 mrt</v>
          </cell>
          <cell r="AB223"/>
          <cell r="AC223"/>
          <cell r="AD223"/>
          <cell r="AE223"/>
          <cell r="AF223"/>
          <cell r="AG223"/>
          <cell r="AH223"/>
          <cell r="AI223" t="str">
            <v>STIP 8</v>
          </cell>
          <cell r="AJ223"/>
          <cell r="AK223"/>
          <cell r="AL223"/>
          <cell r="AM223"/>
          <cell r="AN223"/>
          <cell r="AO223"/>
          <cell r="AP223"/>
        </row>
        <row r="224">
          <cell r="A224" t="str">
            <v>ZJKT2_5942</v>
          </cell>
          <cell r="B224" t="str">
            <v>0230582200231</v>
          </cell>
          <cell r="C224">
            <v>1128111023</v>
          </cell>
          <cell r="D224" t="str">
            <v>ZJKT2_5942</v>
          </cell>
          <cell r="E224" t="str">
            <v>Tegal Alur</v>
          </cell>
          <cell r="F224">
            <v>43881</v>
          </cell>
          <cell r="G224" t="str">
            <v>FEB 2020</v>
          </cell>
          <cell r="H224"/>
          <cell r="I224" t="str">
            <v>Jabodetabek (Inner)</v>
          </cell>
          <cell r="J224" t="str">
            <v>JAKARTA BARAT</v>
          </cell>
          <cell r="K224" t="str">
            <v>SMARTFREN</v>
          </cell>
          <cell r="L224" t="str">
            <v>fleksible</v>
          </cell>
          <cell r="M224"/>
          <cell r="N224">
            <v>-6.1200109999999999</v>
          </cell>
          <cell r="O224"/>
          <cell r="P224">
            <v>106.71549</v>
          </cell>
          <cell r="Q224"/>
          <cell r="R224" t="str">
            <v>KLS</v>
          </cell>
          <cell r="S224" t="str">
            <v>Aditya Rachaman</v>
          </cell>
          <cell r="T224"/>
          <cell r="U224" t="str">
            <v>PRE SITAC</v>
          </cell>
          <cell r="V224" t="str">
            <v>04. Review TNP</v>
          </cell>
          <cell r="W224"/>
          <cell r="X224"/>
          <cell r="Y224"/>
          <cell r="Z224" t="str">
            <v>RF 30m</v>
          </cell>
          <cell r="AA224" t="str">
            <v>Panoramic memakai drone,senin 9 mrt</v>
          </cell>
          <cell r="AB224"/>
          <cell r="AC224"/>
          <cell r="AD224"/>
          <cell r="AE224"/>
          <cell r="AF224"/>
          <cell r="AG224"/>
          <cell r="AH224"/>
          <cell r="AI224" t="str">
            <v>STIP 8</v>
          </cell>
          <cell r="AJ224"/>
          <cell r="AK224"/>
          <cell r="AL224"/>
          <cell r="AM224"/>
          <cell r="AN224"/>
          <cell r="AO224"/>
          <cell r="AP224"/>
        </row>
        <row r="225">
          <cell r="A225" t="str">
            <v>ZJKT2_5945</v>
          </cell>
          <cell r="B225" t="str">
            <v>0230582210231</v>
          </cell>
          <cell r="C225">
            <v>1318061023</v>
          </cell>
          <cell r="D225" t="str">
            <v>ZJKT2_5945</v>
          </cell>
          <cell r="E225" t="str">
            <v>Kunciran</v>
          </cell>
          <cell r="F225">
            <v>43881</v>
          </cell>
          <cell r="G225" t="str">
            <v>FEB 2020</v>
          </cell>
          <cell r="H225"/>
          <cell r="I225" t="str">
            <v>Jabodetabek (Inner)</v>
          </cell>
          <cell r="J225" t="str">
            <v>KOTA TANGERANG</v>
          </cell>
          <cell r="K225" t="str">
            <v>SMARTFREN</v>
          </cell>
          <cell r="L225" t="str">
            <v>fleksible</v>
          </cell>
          <cell r="M225"/>
          <cell r="N225" t="str">
            <v>-6.230812</v>
          </cell>
          <cell r="O225">
            <v>-6.2308120000000002</v>
          </cell>
          <cell r="P225" t="str">
            <v>106.66817</v>
          </cell>
          <cell r="Q225">
            <v>106.66817</v>
          </cell>
          <cell r="R225" t="str">
            <v>NY MITRA</v>
          </cell>
          <cell r="S225"/>
          <cell r="T225"/>
          <cell r="U225" t="str">
            <v>PRE SITAC</v>
          </cell>
          <cell r="V225" t="str">
            <v>01. Hunting</v>
          </cell>
          <cell r="W225"/>
          <cell r="X225"/>
          <cell r="Y225"/>
          <cell r="Z225" t="e">
            <v>#N/A</v>
          </cell>
          <cell r="AA225"/>
          <cell r="AB225"/>
          <cell r="AC225"/>
          <cell r="AD225"/>
          <cell r="AE225"/>
          <cell r="AF225"/>
          <cell r="AG225"/>
          <cell r="AH225"/>
          <cell r="AI225" t="str">
            <v>STIP 8</v>
          </cell>
          <cell r="AJ225"/>
          <cell r="AK225"/>
          <cell r="AL225"/>
          <cell r="AM225"/>
          <cell r="AN225"/>
          <cell r="AO225"/>
          <cell r="AP225"/>
        </row>
        <row r="226">
          <cell r="A226" t="str">
            <v>ZJKT2_5961</v>
          </cell>
          <cell r="B226" t="str">
            <v>0230582220231</v>
          </cell>
          <cell r="C226">
            <v>1128121023</v>
          </cell>
          <cell r="D226" t="str">
            <v>ZJKT2_5961</v>
          </cell>
          <cell r="E226" t="str">
            <v>Duri Kosambi Jakarta</v>
          </cell>
          <cell r="F226">
            <v>43881</v>
          </cell>
          <cell r="G226" t="str">
            <v>FEB 2020</v>
          </cell>
          <cell r="H226"/>
          <cell r="I226" t="str">
            <v>Jabodetabek (Inner)</v>
          </cell>
          <cell r="J226" t="str">
            <v>JAKARTA BARAT</v>
          </cell>
          <cell r="K226" t="str">
            <v>SMARTFREN</v>
          </cell>
          <cell r="L226" t="str">
            <v>fleksible</v>
          </cell>
          <cell r="M226"/>
          <cell r="N226">
            <v>-6.1826049999999997</v>
          </cell>
          <cell r="O226"/>
          <cell r="P226">
            <v>106.71123</v>
          </cell>
          <cell r="Q226"/>
          <cell r="R226" t="str">
            <v>KLS</v>
          </cell>
          <cell r="S226" t="str">
            <v>Aditya Rachaman</v>
          </cell>
          <cell r="T226"/>
          <cell r="U226" t="str">
            <v>PRE SITAC</v>
          </cell>
          <cell r="V226" t="str">
            <v>03. Review RNP</v>
          </cell>
          <cell r="W226"/>
          <cell r="X226"/>
          <cell r="Y226"/>
          <cell r="Z226" t="e">
            <v>#N/A</v>
          </cell>
          <cell r="AA226" t="str">
            <v>Waiting validasi Kand A</v>
          </cell>
          <cell r="AB226"/>
          <cell r="AC226"/>
          <cell r="AD226"/>
          <cell r="AE226"/>
          <cell r="AF226"/>
          <cell r="AG226"/>
          <cell r="AH226"/>
          <cell r="AI226" t="str">
            <v>STIP 8</v>
          </cell>
          <cell r="AJ226"/>
          <cell r="AK226"/>
          <cell r="AL226"/>
          <cell r="AM226"/>
          <cell r="AN226"/>
          <cell r="AO226"/>
          <cell r="AP226"/>
        </row>
        <row r="227">
          <cell r="A227" t="str">
            <v>ZJKT2_6017</v>
          </cell>
          <cell r="B227" t="str">
            <v>0230582230231</v>
          </cell>
          <cell r="C227">
            <v>1128131023</v>
          </cell>
          <cell r="D227" t="str">
            <v>ZJKT2_6017</v>
          </cell>
          <cell r="E227" t="str">
            <v>Cakung Barat Jaktim</v>
          </cell>
          <cell r="F227">
            <v>43881</v>
          </cell>
          <cell r="G227" t="str">
            <v>FEB 2020</v>
          </cell>
          <cell r="H227"/>
          <cell r="I227" t="str">
            <v>Jabodetabek (Inner)</v>
          </cell>
          <cell r="J227" t="str">
            <v>JAKARTA TIMUR</v>
          </cell>
          <cell r="K227" t="str">
            <v>SMARTFREN</v>
          </cell>
          <cell r="L227" t="str">
            <v>fleksible</v>
          </cell>
          <cell r="M227"/>
          <cell r="N227">
            <v>-6.1676890000000002</v>
          </cell>
          <cell r="O227"/>
          <cell r="P227">
            <v>106.92641999999999</v>
          </cell>
          <cell r="Q227"/>
          <cell r="R227" t="str">
            <v>KLS</v>
          </cell>
          <cell r="S227" t="str">
            <v>Aditya Rachaman</v>
          </cell>
          <cell r="T227"/>
          <cell r="U227" t="str">
            <v>PRE SITAC</v>
          </cell>
          <cell r="V227" t="str">
            <v>03. Review RNP</v>
          </cell>
          <cell r="W227"/>
          <cell r="X227"/>
          <cell r="Y227"/>
          <cell r="Z227" t="e">
            <v>#N/A</v>
          </cell>
          <cell r="AA227" t="str">
            <v>Waiting validasi Kand A</v>
          </cell>
          <cell r="AB227"/>
          <cell r="AC227"/>
          <cell r="AD227"/>
          <cell r="AE227"/>
          <cell r="AF227"/>
          <cell r="AG227"/>
          <cell r="AH227"/>
          <cell r="AI227" t="str">
            <v>STIP 8</v>
          </cell>
          <cell r="AJ227"/>
          <cell r="AK227"/>
          <cell r="AL227"/>
          <cell r="AM227"/>
          <cell r="AN227"/>
          <cell r="AO227"/>
          <cell r="AP227"/>
        </row>
        <row r="228">
          <cell r="A228" t="str">
            <v>ZJKT2_6081</v>
          </cell>
          <cell r="B228" t="str">
            <v>0230582240231</v>
          </cell>
          <cell r="C228">
            <v>1128141023</v>
          </cell>
          <cell r="D228" t="str">
            <v>ZJKT2_6081</v>
          </cell>
          <cell r="E228" t="str">
            <v>Kalideres Jakbar</v>
          </cell>
          <cell r="F228">
            <v>43881</v>
          </cell>
          <cell r="G228" t="str">
            <v>FEB 2020</v>
          </cell>
          <cell r="H228"/>
          <cell r="I228" t="str">
            <v>Jabodetabek (Inner)</v>
          </cell>
          <cell r="J228" t="str">
            <v>JAKARTA BARAT</v>
          </cell>
          <cell r="K228" t="str">
            <v>SMARTFREN</v>
          </cell>
          <cell r="L228" t="str">
            <v>fleksible</v>
          </cell>
          <cell r="M228"/>
          <cell r="N228">
            <v>-6.1534649999999997</v>
          </cell>
          <cell r="O228"/>
          <cell r="P228">
            <v>106.69175</v>
          </cell>
          <cell r="Q228"/>
          <cell r="R228" t="str">
            <v>KLS</v>
          </cell>
          <cell r="S228" t="str">
            <v>Aditya Rachaman</v>
          </cell>
          <cell r="T228"/>
          <cell r="U228" t="str">
            <v>PRE SITAC</v>
          </cell>
          <cell r="V228" t="str">
            <v>03. Review RNP</v>
          </cell>
          <cell r="W228"/>
          <cell r="X228"/>
          <cell r="Y228"/>
          <cell r="Z228" t="e">
            <v>#N/A</v>
          </cell>
          <cell r="AA228" t="str">
            <v>Waiting validasi Kand A</v>
          </cell>
          <cell r="AB228"/>
          <cell r="AC228"/>
          <cell r="AD228"/>
          <cell r="AE228"/>
          <cell r="AF228"/>
          <cell r="AG228"/>
          <cell r="AH228"/>
          <cell r="AI228" t="str">
            <v>STIP 8</v>
          </cell>
          <cell r="AJ228"/>
          <cell r="AK228"/>
          <cell r="AL228"/>
          <cell r="AM228"/>
          <cell r="AN228"/>
          <cell r="AO228"/>
          <cell r="AP228"/>
        </row>
        <row r="229">
          <cell r="A229" t="str">
            <v>ZJKT2_6082</v>
          </cell>
          <cell r="B229" t="str">
            <v>0230582250231</v>
          </cell>
          <cell r="C229">
            <v>1318071023</v>
          </cell>
          <cell r="D229" t="str">
            <v>ZJKT2_6082</v>
          </cell>
          <cell r="E229" t="str">
            <v>Periuk</v>
          </cell>
          <cell r="F229">
            <v>43881</v>
          </cell>
          <cell r="G229" t="str">
            <v>FEB 2020</v>
          </cell>
          <cell r="H229"/>
          <cell r="I229" t="str">
            <v>Jabodetabek (Inner)</v>
          </cell>
          <cell r="J229" t="str">
            <v>KOTA TANGERANG</v>
          </cell>
          <cell r="K229" t="str">
            <v>SMARTFREN</v>
          </cell>
          <cell r="L229" t="str">
            <v>fleksible</v>
          </cell>
          <cell r="M229"/>
          <cell r="N229" t="str">
            <v>-6.15483</v>
          </cell>
          <cell r="O229">
            <v>-6.1548299999999996</v>
          </cell>
          <cell r="P229" t="str">
            <v>106.59997</v>
          </cell>
          <cell r="Q229">
            <v>106.59997</v>
          </cell>
          <cell r="R229" t="str">
            <v>NY MITRA</v>
          </cell>
          <cell r="S229"/>
          <cell r="T229"/>
          <cell r="U229" t="str">
            <v>SITAC</v>
          </cell>
          <cell r="V229" t="str">
            <v>05. BAN/BAK</v>
          </cell>
          <cell r="W229"/>
          <cell r="X229"/>
          <cell r="Y229"/>
          <cell r="Z229" t="str">
            <v>OK, 30m</v>
          </cell>
          <cell r="AA229" t="str">
            <v>Hasil Validasi OK, 30m</v>
          </cell>
          <cell r="AB229"/>
          <cell r="AC229"/>
          <cell r="AD229"/>
          <cell r="AE229"/>
          <cell r="AF229"/>
          <cell r="AG229"/>
          <cell r="AH229"/>
          <cell r="AI229" t="str">
            <v>STIP 8</v>
          </cell>
          <cell r="AJ229"/>
          <cell r="AK229"/>
          <cell r="AL229"/>
          <cell r="AM229"/>
          <cell r="AN229"/>
          <cell r="AO229"/>
          <cell r="AP229"/>
        </row>
        <row r="230">
          <cell r="A230" t="str">
            <v>ZJKT2_6089</v>
          </cell>
          <cell r="B230" t="str">
            <v>0230582260231</v>
          </cell>
          <cell r="C230">
            <v>1318081023</v>
          </cell>
          <cell r="D230" t="str">
            <v>ZJKT2_6089</v>
          </cell>
          <cell r="E230" t="str">
            <v>Kenanga</v>
          </cell>
          <cell r="F230">
            <v>43881</v>
          </cell>
          <cell r="G230" t="str">
            <v>FEB 2020</v>
          </cell>
          <cell r="H230"/>
          <cell r="I230" t="str">
            <v>Jabodetabek (Inner)</v>
          </cell>
          <cell r="J230" t="str">
            <v>KOTA TANGERANG</v>
          </cell>
          <cell r="K230" t="str">
            <v>SMARTFREN</v>
          </cell>
          <cell r="L230" t="str">
            <v>fleksible</v>
          </cell>
          <cell r="M230"/>
          <cell r="N230" t="str">
            <v>-6.198763</v>
          </cell>
          <cell r="O230">
            <v>-6.1987629999999996</v>
          </cell>
          <cell r="P230">
            <v>106.68875</v>
          </cell>
          <cell r="Q230">
            <v>106.68875</v>
          </cell>
          <cell r="R230" t="str">
            <v>NY MITRA</v>
          </cell>
          <cell r="S230"/>
          <cell r="T230"/>
          <cell r="U230" t="str">
            <v>SITAC</v>
          </cell>
          <cell r="V230" t="str">
            <v>05. BAN/BAK</v>
          </cell>
          <cell r="W230"/>
          <cell r="X230"/>
          <cell r="Y230"/>
          <cell r="Z230" t="str">
            <v>OK, 25m</v>
          </cell>
          <cell r="AA230" t="str">
            <v>06.03 : Site OK RF need 25, Proses BAN dan IW
Validasi Kand A, BAN Suubmit tgl 10 mart Pararel IW 
Hunting Kand A</v>
          </cell>
          <cell r="AB230"/>
          <cell r="AC230"/>
          <cell r="AD230"/>
          <cell r="AE230"/>
          <cell r="AF230"/>
          <cell r="AG230"/>
          <cell r="AH230"/>
          <cell r="AI230" t="str">
            <v>STIP 8</v>
          </cell>
          <cell r="AJ230"/>
          <cell r="AK230"/>
          <cell r="AL230"/>
          <cell r="AM230"/>
          <cell r="AN230"/>
          <cell r="AO230"/>
          <cell r="AP230"/>
        </row>
        <row r="231">
          <cell r="A231" t="str">
            <v>ZJKT2_6095</v>
          </cell>
          <cell r="B231" t="str">
            <v>0230582270231</v>
          </cell>
          <cell r="C231">
            <v>1318091023</v>
          </cell>
          <cell r="D231" t="str">
            <v>ZJKT2_6095</v>
          </cell>
          <cell r="E231" t="str">
            <v>Gaga</v>
          </cell>
          <cell r="F231">
            <v>43881</v>
          </cell>
          <cell r="G231" t="str">
            <v>FEB 2020</v>
          </cell>
          <cell r="H231"/>
          <cell r="I231" t="str">
            <v>Jabodetabek (Inner)</v>
          </cell>
          <cell r="J231" t="str">
            <v>KOTA TANGERANG</v>
          </cell>
          <cell r="K231" t="str">
            <v>SMARTFREN</v>
          </cell>
          <cell r="L231" t="str">
            <v>fleksible</v>
          </cell>
          <cell r="M231"/>
          <cell r="N231">
            <v>-6.2405099999999996</v>
          </cell>
          <cell r="O231">
            <v>-6.2405099999999996</v>
          </cell>
          <cell r="P231">
            <v>106.73022</v>
          </cell>
          <cell r="Q231">
            <v>106.73022</v>
          </cell>
          <cell r="R231" t="str">
            <v>NY MITRA</v>
          </cell>
          <cell r="S231"/>
          <cell r="T231"/>
          <cell r="U231" t="str">
            <v>PRE SITAC</v>
          </cell>
          <cell r="V231" t="str">
            <v>01. Hunting</v>
          </cell>
          <cell r="W231"/>
          <cell r="X231"/>
          <cell r="Y231"/>
          <cell r="Z231" t="e">
            <v>#N/A</v>
          </cell>
          <cell r="AA231"/>
          <cell r="AB231"/>
          <cell r="AC231"/>
          <cell r="AD231"/>
          <cell r="AE231"/>
          <cell r="AF231"/>
          <cell r="AG231"/>
          <cell r="AH231"/>
          <cell r="AI231" t="str">
            <v>STIP 8</v>
          </cell>
          <cell r="AJ231"/>
          <cell r="AK231"/>
          <cell r="AL231"/>
          <cell r="AM231"/>
          <cell r="AN231"/>
          <cell r="AO231"/>
          <cell r="AP231"/>
        </row>
        <row r="232">
          <cell r="A232" t="str">
            <v>ZJKT2_4247</v>
          </cell>
          <cell r="B232">
            <v>230581860231</v>
          </cell>
          <cell r="C232">
            <v>1318011023</v>
          </cell>
          <cell r="D232" t="str">
            <v>ZJKT2_4247</v>
          </cell>
          <cell r="E232" t="str">
            <v>NEGLASARI TANGERANG</v>
          </cell>
          <cell r="F232">
            <v>43878</v>
          </cell>
          <cell r="G232" t="str">
            <v>FEB 2020</v>
          </cell>
          <cell r="H232"/>
          <cell r="I232" t="str">
            <v>JABODETABEK (INNER)</v>
          </cell>
          <cell r="J232" t="str">
            <v>KOTA TANGERANG</v>
          </cell>
          <cell r="K232" t="str">
            <v>SMARTFREN</v>
          </cell>
          <cell r="L232" t="str">
            <v>NEW MCP NON FO</v>
          </cell>
          <cell r="M232"/>
          <cell r="N232" t="str">
            <v>-6.1563</v>
          </cell>
          <cell r="O232">
            <v>-6.1562989999999997</v>
          </cell>
          <cell r="P232" t="str">
            <v>106.6467</v>
          </cell>
          <cell r="Q232">
            <v>106.64669000000001</v>
          </cell>
          <cell r="R232" t="str">
            <v>NY MITRA</v>
          </cell>
          <cell r="S232"/>
          <cell r="T232"/>
          <cell r="U232" t="str">
            <v>PRE SITAC</v>
          </cell>
          <cell r="V232" t="str">
            <v>01. Hunting</v>
          </cell>
          <cell r="W232"/>
          <cell r="X232"/>
          <cell r="Y232"/>
          <cell r="Z232" t="e">
            <v>#N/A</v>
          </cell>
          <cell r="AA232"/>
          <cell r="AB232"/>
          <cell r="AC232"/>
          <cell r="AD232"/>
          <cell r="AE232"/>
          <cell r="AF232"/>
          <cell r="AG232"/>
          <cell r="AH232"/>
          <cell r="AI232"/>
          <cell r="AJ232"/>
          <cell r="AK232"/>
          <cell r="AL232"/>
          <cell r="AM232"/>
          <cell r="AN232"/>
          <cell r="AO232"/>
          <cell r="AP232"/>
        </row>
        <row r="233">
          <cell r="A233" t="str">
            <v>ZJKT2_5117</v>
          </cell>
          <cell r="B233">
            <v>230581890231</v>
          </cell>
          <cell r="C233">
            <v>1318031023</v>
          </cell>
          <cell r="D233" t="str">
            <v>ZJKT2_5117</v>
          </cell>
          <cell r="E233" t="str">
            <v>PONDOK AREN 5117</v>
          </cell>
          <cell r="F233">
            <v>43878</v>
          </cell>
          <cell r="G233" t="str">
            <v>FEB 2020</v>
          </cell>
          <cell r="H233"/>
          <cell r="I233" t="str">
            <v>JABODETABEK (OUTER)</v>
          </cell>
          <cell r="J233" t="str">
            <v>TANGERANG SELATAN</v>
          </cell>
          <cell r="K233" t="str">
            <v>SMARTFREN</v>
          </cell>
          <cell r="L233" t="str">
            <v>NEW MCP NON FO</v>
          </cell>
          <cell r="M233"/>
          <cell r="N233" t="e">
            <v>#REF!</v>
          </cell>
          <cell r="O233"/>
          <cell r="P233" t="e">
            <v>#REF!</v>
          </cell>
          <cell r="Q233"/>
          <cell r="R233" t="str">
            <v>DATATEL</v>
          </cell>
          <cell r="S233" t="str">
            <v>Handri Purnama</v>
          </cell>
          <cell r="T233"/>
          <cell r="U233" t="str">
            <v>SITAC</v>
          </cell>
          <cell r="V233" t="str">
            <v>05. BAN/BAK</v>
          </cell>
          <cell r="W233"/>
          <cell r="X233"/>
          <cell r="Y233"/>
          <cell r="Z233" t="str">
            <v>RF 30m</v>
          </cell>
          <cell r="AA233" t="str">
            <v xml:space="preserve">Validasi Kand A Need RF 30m, BAN Suubmit tgl 11 mart Pararel IW </v>
          </cell>
          <cell r="AB233"/>
          <cell r="AC233"/>
          <cell r="AD233"/>
          <cell r="AE233"/>
          <cell r="AF233"/>
          <cell r="AG233"/>
          <cell r="AH233"/>
          <cell r="AI233"/>
          <cell r="AJ233"/>
          <cell r="AK233" t="str">
            <v>A</v>
          </cell>
          <cell r="AL233">
            <v>106.73971</v>
          </cell>
          <cell r="AM233">
            <v>-6.2541000000000002</v>
          </cell>
          <cell r="AN233"/>
          <cell r="AO233" t="str">
            <v>MCP 20</v>
          </cell>
          <cell r="AP233"/>
        </row>
        <row r="234">
          <cell r="A234" t="str">
            <v>ZJKT2_4539</v>
          </cell>
          <cell r="B234">
            <v>230581880231</v>
          </cell>
          <cell r="C234">
            <v>1318021023</v>
          </cell>
          <cell r="D234" t="str">
            <v>ZJKT2_4539</v>
          </cell>
          <cell r="E234" t="str">
            <v>PONDOK AREN SELATAN</v>
          </cell>
          <cell r="F234">
            <v>43878</v>
          </cell>
          <cell r="G234" t="str">
            <v>FEB 2020</v>
          </cell>
          <cell r="H234"/>
          <cell r="I234" t="str">
            <v>JABODETABEK (OUTER)</v>
          </cell>
          <cell r="J234" t="str">
            <v>TANGERANG SELATAN</v>
          </cell>
          <cell r="K234" t="str">
            <v>SMARTFREN</v>
          </cell>
          <cell r="L234" t="str">
            <v>NEW MCP NON FO</v>
          </cell>
          <cell r="M234"/>
          <cell r="N234" t="e">
            <v>#REF!</v>
          </cell>
          <cell r="O234"/>
          <cell r="P234" t="e">
            <v>#REF!</v>
          </cell>
          <cell r="Q234"/>
          <cell r="R234" t="str">
            <v>DATATEL</v>
          </cell>
          <cell r="S234" t="str">
            <v>Handri Purnama</v>
          </cell>
          <cell r="T234"/>
          <cell r="U234" t="str">
            <v>SITAC</v>
          </cell>
          <cell r="V234" t="str">
            <v>05. BAN/BAK</v>
          </cell>
          <cell r="W234"/>
          <cell r="X234"/>
          <cell r="Y234"/>
          <cell r="Z234" t="str">
            <v>RF 25m</v>
          </cell>
          <cell r="AA234" t="str">
            <v xml:space="preserve">Hasil Validasi Kand A, RF 25m
Validasi Kand A, BAN Suubmit tgl 11 mart Pararel IW </v>
          </cell>
          <cell r="AB234"/>
          <cell r="AC234"/>
          <cell r="AD234"/>
          <cell r="AE234"/>
          <cell r="AF234"/>
          <cell r="AG234"/>
          <cell r="AH234"/>
          <cell r="AI234"/>
          <cell r="AJ234"/>
          <cell r="AK234" t="str">
            <v>A</v>
          </cell>
          <cell r="AL234">
            <v>106.70525000000001</v>
          </cell>
          <cell r="AM234">
            <v>-6.2665800000000003</v>
          </cell>
          <cell r="AN234"/>
          <cell r="AO234" t="str">
            <v>MCP 20</v>
          </cell>
          <cell r="AP234"/>
        </row>
        <row r="235">
          <cell r="A235" t="str">
            <v>ZJKT2_5209</v>
          </cell>
          <cell r="B235">
            <v>230581900231</v>
          </cell>
          <cell r="C235">
            <v>1318041023</v>
          </cell>
          <cell r="D235" t="str">
            <v>ZJKT2_5209</v>
          </cell>
          <cell r="E235" t="str">
            <v>CIPUTAT SELATAN</v>
          </cell>
          <cell r="F235">
            <v>43878</v>
          </cell>
          <cell r="G235" t="str">
            <v>FEB 2020</v>
          </cell>
          <cell r="H235"/>
          <cell r="I235" t="str">
            <v>JABODETABEK (OUTER)</v>
          </cell>
          <cell r="J235" t="str">
            <v>TANGERANG SELATAN</v>
          </cell>
          <cell r="K235" t="str">
            <v>SMARTFREN</v>
          </cell>
          <cell r="L235" t="str">
            <v>NEW MCP NON FO</v>
          </cell>
          <cell r="M235"/>
          <cell r="N235" t="e">
            <v>#REF!</v>
          </cell>
          <cell r="O235"/>
          <cell r="P235" t="e">
            <v>#REF!</v>
          </cell>
          <cell r="Q235"/>
          <cell r="R235" t="str">
            <v>DATATEL</v>
          </cell>
          <cell r="S235" t="str">
            <v>Handri Purnama</v>
          </cell>
          <cell r="T235"/>
          <cell r="U235" t="str">
            <v>SITAC</v>
          </cell>
          <cell r="V235" t="str">
            <v>05. BAN/BAK</v>
          </cell>
          <cell r="W235"/>
          <cell r="X235"/>
          <cell r="Y235"/>
          <cell r="Z235" t="str">
            <v>RF 30m</v>
          </cell>
          <cell r="AA235" t="str">
            <v xml:space="preserve">Validasi Kand A Need RF 30m, BAN Suubmit tgl 11 mart Pararel IW </v>
          </cell>
          <cell r="AB235"/>
          <cell r="AC235"/>
          <cell r="AD235"/>
          <cell r="AE235"/>
          <cell r="AF235"/>
          <cell r="AG235"/>
          <cell r="AH235"/>
          <cell r="AI235"/>
          <cell r="AJ235"/>
          <cell r="AK235" t="str">
            <v>A</v>
          </cell>
          <cell r="AL235">
            <v>106.69880000000001</v>
          </cell>
          <cell r="AM235">
            <v>-6.29861</v>
          </cell>
          <cell r="AN235"/>
          <cell r="AO235" t="str">
            <v>MCP 20</v>
          </cell>
          <cell r="AP235"/>
        </row>
        <row r="236">
          <cell r="A236" t="str">
            <v>-</v>
          </cell>
          <cell r="B236">
            <v>260578960261</v>
          </cell>
          <cell r="C236">
            <v>1261111026</v>
          </cell>
          <cell r="D236" t="str">
            <v>-</v>
          </cell>
          <cell r="E236" t="str">
            <v>SITE BUCKETLIST</v>
          </cell>
          <cell r="F236">
            <v>43867</v>
          </cell>
          <cell r="G236" t="str">
            <v>FEB 2020</v>
          </cell>
          <cell r="H236"/>
          <cell r="I236" t="str">
            <v>JABODETABEK (OUTER)</v>
          </cell>
          <cell r="J236" t="str">
            <v>KOTA BOGOR</v>
          </cell>
          <cell r="K236" t="str">
            <v>TBG</v>
          </cell>
          <cell r="L236" t="str">
            <v>NEW BUILD</v>
          </cell>
          <cell r="M236"/>
          <cell r="N236" t="str">
            <v>-6.591083</v>
          </cell>
          <cell r="O236"/>
          <cell r="P236" t="str">
            <v>106.8164</v>
          </cell>
          <cell r="Q236"/>
          <cell r="R236" t="str">
            <v>NO NEED WORK</v>
          </cell>
          <cell r="S236"/>
          <cell r="T236"/>
          <cell r="U236" t="str">
            <v>RFC</v>
          </cell>
          <cell r="V236" t="str">
            <v>12. RFC</v>
          </cell>
          <cell r="W236"/>
          <cell r="X236"/>
          <cell r="Y236"/>
          <cell r="Z236" t="e">
            <v>#N/A</v>
          </cell>
          <cell r="AA236" t="str">
            <v>RFC done</v>
          </cell>
          <cell r="AB236" t="str">
            <v>RFC done</v>
          </cell>
          <cell r="AC236"/>
          <cell r="AD236"/>
          <cell r="AE236"/>
          <cell r="AF236"/>
          <cell r="AG236"/>
          <cell r="AH236"/>
          <cell r="AI236"/>
          <cell r="AJ236"/>
          <cell r="AK236"/>
          <cell r="AL236"/>
          <cell r="AM236"/>
          <cell r="AN236"/>
          <cell r="AO236"/>
          <cell r="AP236"/>
        </row>
        <row r="237">
          <cell r="A237" t="str">
            <v>ZJKT2_4362</v>
          </cell>
          <cell r="B237">
            <v>230581870231</v>
          </cell>
          <cell r="C237">
            <v>1128061023</v>
          </cell>
          <cell r="D237" t="str">
            <v>ZJKT2_4362</v>
          </cell>
          <cell r="E237" t="str">
            <v>TANJUNG PRIOK UTARA</v>
          </cell>
          <cell r="F237">
            <v>43878</v>
          </cell>
          <cell r="G237" t="str">
            <v>FEB 2020</v>
          </cell>
          <cell r="H237"/>
          <cell r="I237" t="str">
            <v>JABODETABEK (INNER)</v>
          </cell>
          <cell r="J237" t="str">
            <v>JAKARTA UTARA</v>
          </cell>
          <cell r="K237" t="str">
            <v>SMARTFREN</v>
          </cell>
          <cell r="L237" t="str">
            <v>NEW MCP NON FO</v>
          </cell>
          <cell r="M237"/>
          <cell r="N237" t="str">
            <v>-6.11648</v>
          </cell>
          <cell r="O237"/>
          <cell r="P237" t="str">
            <v>106.8756</v>
          </cell>
          <cell r="Q237"/>
          <cell r="R237" t="str">
            <v>KLS</v>
          </cell>
          <cell r="S237" t="str">
            <v>Aditya Rachaman</v>
          </cell>
          <cell r="T237"/>
          <cell r="U237" t="str">
            <v>PRE SITAC</v>
          </cell>
          <cell r="V237" t="str">
            <v>03. Review RNP</v>
          </cell>
          <cell r="W237"/>
          <cell r="X237"/>
          <cell r="Y237"/>
          <cell r="Z237" t="e">
            <v>#N/A</v>
          </cell>
          <cell r="AA237" t="str">
            <v>Waiting validasi Kand A</v>
          </cell>
          <cell r="AB237"/>
          <cell r="AC237"/>
          <cell r="AD237"/>
          <cell r="AE237"/>
          <cell r="AF237"/>
          <cell r="AG237"/>
          <cell r="AH237"/>
          <cell r="AI237"/>
          <cell r="AJ237"/>
          <cell r="AK237"/>
          <cell r="AL237"/>
          <cell r="AM237"/>
          <cell r="AN237"/>
          <cell r="AO237"/>
          <cell r="AP237"/>
        </row>
        <row r="238">
          <cell r="A238" t="str">
            <v>JBX440</v>
          </cell>
          <cell r="B238" t="str">
            <v>JBX440</v>
          </cell>
          <cell r="C238" t="str">
            <v>JBX440</v>
          </cell>
          <cell r="D238" t="str">
            <v>JBX440</v>
          </cell>
          <cell r="E238" t="str">
            <v>PERMANENCMBTALMUBAROKJOGLO</v>
          </cell>
          <cell r="F238"/>
          <cell r="G238"/>
          <cell r="H238"/>
          <cell r="I238" t="str">
            <v>JABODETABEK INNER</v>
          </cell>
          <cell r="J238" t="str">
            <v>JAKARTA BARAT</v>
          </cell>
          <cell r="K238" t="str">
            <v>TSEL</v>
          </cell>
          <cell r="L238" t="str">
            <v>MCP</v>
          </cell>
          <cell r="M238"/>
          <cell r="N238">
            <v>106.72929999999999</v>
          </cell>
          <cell r="O238"/>
          <cell r="P238">
            <v>-6.2190000000000003</v>
          </cell>
          <cell r="Q238"/>
          <cell r="R238" t="str">
            <v>KLS</v>
          </cell>
          <cell r="S238" t="str">
            <v>Aditya Rachaman</v>
          </cell>
          <cell r="T238"/>
          <cell r="U238" t="str">
            <v>RFC</v>
          </cell>
          <cell r="V238" t="str">
            <v>12. RFC</v>
          </cell>
          <cell r="W238"/>
          <cell r="X238"/>
          <cell r="Y238"/>
          <cell r="Z238" t="e">
            <v>#N/A</v>
          </cell>
          <cell r="AA238" t="str">
            <v>RFC done</v>
          </cell>
          <cell r="AB238" t="str">
            <v>RFC done</v>
          </cell>
          <cell r="AC238"/>
          <cell r="AD238"/>
          <cell r="AE238"/>
          <cell r="AF238"/>
          <cell r="AG238"/>
          <cell r="AH238"/>
          <cell r="AI238"/>
          <cell r="AJ238"/>
          <cell r="AK238"/>
          <cell r="AL238"/>
          <cell r="AM238"/>
          <cell r="AN238"/>
          <cell r="AO238"/>
          <cell r="AP238"/>
        </row>
        <row r="239">
          <cell r="A239" t="str">
            <v>JUX569</v>
          </cell>
          <cell r="B239" t="str">
            <v>JUX569</v>
          </cell>
          <cell r="C239" t="str">
            <v>JUX569</v>
          </cell>
          <cell r="D239" t="str">
            <v>JUX569</v>
          </cell>
          <cell r="E239" t="str">
            <v>PERMANENCOMBATTERMPENUMPANG</v>
          </cell>
          <cell r="F239"/>
          <cell r="G239"/>
          <cell r="H239"/>
          <cell r="I239" t="str">
            <v>JABODETABEK INNER</v>
          </cell>
          <cell r="J239" t="str">
            <v>JAKARTA UTARA</v>
          </cell>
          <cell r="K239" t="str">
            <v>TSEL</v>
          </cell>
          <cell r="L239" t="str">
            <v>MCP</v>
          </cell>
          <cell r="M239"/>
          <cell r="N239">
            <v>106.8805</v>
          </cell>
          <cell r="O239"/>
          <cell r="P239">
            <v>-6.1032000000000002</v>
          </cell>
          <cell r="Q239"/>
          <cell r="R239" t="str">
            <v>KLS</v>
          </cell>
          <cell r="S239" t="str">
            <v>Aditya Rachaman</v>
          </cell>
          <cell r="T239"/>
          <cell r="U239" t="str">
            <v>RFC</v>
          </cell>
          <cell r="V239" t="str">
            <v>12. RFC</v>
          </cell>
          <cell r="W239"/>
          <cell r="X239"/>
          <cell r="Y239"/>
          <cell r="Z239" t="e">
            <v>#N/A</v>
          </cell>
          <cell r="AA239" t="str">
            <v>RFC done</v>
          </cell>
          <cell r="AB239" t="str">
            <v>RFC done</v>
          </cell>
          <cell r="AC239"/>
          <cell r="AD239"/>
          <cell r="AE239"/>
          <cell r="AF239"/>
          <cell r="AG239"/>
          <cell r="AH239" t="str">
            <v>MCP</v>
          </cell>
          <cell r="AI239" t="str">
            <v>STIP 1</v>
          </cell>
          <cell r="AJ239" t="str">
            <v>TB</v>
          </cell>
          <cell r="AK239" t="str">
            <v>A</v>
          </cell>
          <cell r="AL239">
            <v>106.88061999999999</v>
          </cell>
          <cell r="AM239">
            <v>-6.1032000000000002</v>
          </cell>
          <cell r="AN239" t="str">
            <v>Terminal Peti Kemas Tanjung Priok</v>
          </cell>
          <cell r="AO239">
            <v>20</v>
          </cell>
          <cell r="AP239" t="str">
            <v>DKI JAKARTA</v>
          </cell>
        </row>
        <row r="240">
          <cell r="A240" t="str">
            <v>JUX583</v>
          </cell>
          <cell r="B240" t="str">
            <v>JUX583</v>
          </cell>
          <cell r="C240" t="str">
            <v>JUX583</v>
          </cell>
          <cell r="D240" t="str">
            <v>JUX583</v>
          </cell>
          <cell r="E240" t="str">
            <v>PERMANENCOMBATKEPANDUANPELINDO</v>
          </cell>
          <cell r="F240"/>
          <cell r="G240"/>
          <cell r="H240"/>
          <cell r="I240" t="str">
            <v>JABODETABEK INNER</v>
          </cell>
          <cell r="J240" t="str">
            <v>JAKARTA UTARA</v>
          </cell>
          <cell r="K240" t="str">
            <v>TSEL</v>
          </cell>
          <cell r="L240" t="str">
            <v>MCP</v>
          </cell>
          <cell r="M240"/>
          <cell r="N240">
            <v>106.8865</v>
          </cell>
          <cell r="O240"/>
          <cell r="P240">
            <v>-6.0970399999999998</v>
          </cell>
          <cell r="Q240"/>
          <cell r="R240" t="str">
            <v>KLS</v>
          </cell>
          <cell r="S240" t="str">
            <v>Aditya Rachman</v>
          </cell>
          <cell r="T240"/>
          <cell r="U240" t="str">
            <v>RFC</v>
          </cell>
          <cell r="V240" t="str">
            <v>12. RFC</v>
          </cell>
          <cell r="W240"/>
          <cell r="X240"/>
          <cell r="Y240"/>
          <cell r="Z240" t="e">
            <v>#N/A</v>
          </cell>
          <cell r="AA240" t="str">
            <v>CAND P, Proses IW</v>
          </cell>
          <cell r="AB240"/>
          <cell r="AC240"/>
          <cell r="AD240"/>
          <cell r="AE240"/>
          <cell r="AF240"/>
          <cell r="AG240"/>
          <cell r="AH240" t="str">
            <v>MCP</v>
          </cell>
          <cell r="AI240" t="str">
            <v>STIP 1</v>
          </cell>
          <cell r="AJ240" t="str">
            <v>TB</v>
          </cell>
          <cell r="AK240" t="str">
            <v>A</v>
          </cell>
          <cell r="AL240">
            <v>106.88634999999999</v>
          </cell>
          <cell r="AM240" t="str">
            <v>-6.09690</v>
          </cell>
          <cell r="AN240" t="str">
            <v>Terminal Peti Kemas Tanjung Priok</v>
          </cell>
          <cell r="AO240">
            <v>25</v>
          </cell>
          <cell r="AP240" t="str">
            <v>DKI JAKARTA</v>
          </cell>
        </row>
        <row r="241">
          <cell r="A241" t="str">
            <v>SKB904</v>
          </cell>
          <cell r="B241" t="str">
            <v xml:space="preserve"> 0010587860011</v>
          </cell>
          <cell r="C241">
            <v>1261951001</v>
          </cell>
          <cell r="D241" t="str">
            <v>SKB904</v>
          </cell>
          <cell r="E241" t="str">
            <v>DAYEUHLUHURWARUDOYONG</v>
          </cell>
          <cell r="F241"/>
          <cell r="G241"/>
          <cell r="H241"/>
          <cell r="I241" t="str">
            <v>JABODETABEK OUTER</v>
          </cell>
          <cell r="J241" t="str">
            <v>KOTA SUKABUMI</v>
          </cell>
          <cell r="K241" t="str">
            <v>TSEL</v>
          </cell>
          <cell r="L241" t="str">
            <v>Macro</v>
          </cell>
          <cell r="M241"/>
          <cell r="N241">
            <v>106.9191</v>
          </cell>
          <cell r="O241"/>
          <cell r="P241">
            <v>-6.9402100000000004</v>
          </cell>
          <cell r="Q241"/>
          <cell r="R241" t="str">
            <v>bnp</v>
          </cell>
          <cell r="S241" t="str">
            <v>Aditya Rachaman</v>
          </cell>
          <cell r="T241"/>
          <cell r="U241" t="str">
            <v>RFC</v>
          </cell>
          <cell r="V241" t="str">
            <v>12. RFC</v>
          </cell>
          <cell r="W241"/>
          <cell r="X241"/>
          <cell r="Y241"/>
          <cell r="Z241" t="e">
            <v>#N/A</v>
          </cell>
          <cell r="AA241" t="str">
            <v>RFC done</v>
          </cell>
          <cell r="AB241" t="str">
            <v>RFC done</v>
          </cell>
          <cell r="AC241"/>
          <cell r="AD241"/>
          <cell r="AE241"/>
          <cell r="AF241"/>
          <cell r="AG241"/>
          <cell r="AH241" t="str">
            <v>NEW BUILD</v>
          </cell>
          <cell r="AI241" t="str">
            <v>STIP 1</v>
          </cell>
          <cell r="AJ241" t="str">
            <v>TB</v>
          </cell>
          <cell r="AK241" t="str">
            <v>P</v>
          </cell>
          <cell r="AL241" t="str">
            <v>106.92001</v>
          </cell>
          <cell r="AM241" t="str">
            <v>-6.94016</v>
          </cell>
          <cell r="AN241" t="str">
            <v>Kp. Sukasari RT. 01 RW. 08 Desa Dayeuhluhur Kec. Warudoyong Kota Sukabumi</v>
          </cell>
          <cell r="AO241" t="str">
            <v>42 m</v>
          </cell>
          <cell r="AP241" t="str">
            <v>JAWA BARAT</v>
          </cell>
        </row>
        <row r="242">
          <cell r="A242" t="str">
            <v>TNX314</v>
          </cell>
          <cell r="B242" t="str">
            <v>TNX314</v>
          </cell>
          <cell r="C242" t="str">
            <v>TNX314</v>
          </cell>
          <cell r="D242" t="str">
            <v>TNX314</v>
          </cell>
          <cell r="E242" t="str">
            <v>PAJAJARANTANGERANG</v>
          </cell>
          <cell r="F242"/>
          <cell r="G242"/>
          <cell r="H242"/>
          <cell r="I242" t="str">
            <v>JABODETABEK INNER</v>
          </cell>
          <cell r="J242" t="str">
            <v>KOTA TANGERANG</v>
          </cell>
          <cell r="K242" t="str">
            <v>TSEL</v>
          </cell>
          <cell r="L242" t="str">
            <v>Macro</v>
          </cell>
          <cell r="M242"/>
          <cell r="N242">
            <v>106.5812</v>
          </cell>
          <cell r="O242"/>
          <cell r="P242">
            <v>-6.2052500000000004</v>
          </cell>
          <cell r="Q242"/>
          <cell r="R242" t="str">
            <v>MIT</v>
          </cell>
          <cell r="S242" t="str">
            <v>Handri Purnama</v>
          </cell>
          <cell r="T242"/>
          <cell r="U242" t="str">
            <v>RFC</v>
          </cell>
          <cell r="V242" t="str">
            <v>12. RFC</v>
          </cell>
          <cell r="W242"/>
          <cell r="X242"/>
          <cell r="Y242"/>
          <cell r="Z242" t="e">
            <v>#N/A</v>
          </cell>
          <cell r="AA242" t="str">
            <v>RFC done</v>
          </cell>
          <cell r="AB242" t="str">
            <v>RFC done</v>
          </cell>
          <cell r="AC242"/>
          <cell r="AD242"/>
          <cell r="AE242"/>
          <cell r="AF242"/>
          <cell r="AG242"/>
          <cell r="AH242"/>
          <cell r="AI242"/>
          <cell r="AJ242"/>
          <cell r="AK242"/>
          <cell r="AL242"/>
          <cell r="AM242"/>
          <cell r="AN242"/>
          <cell r="AO242"/>
          <cell r="AP242"/>
        </row>
        <row r="243">
          <cell r="A243" t="str">
            <v>TGR523</v>
          </cell>
          <cell r="B243" t="str">
            <v>0010587880011</v>
          </cell>
          <cell r="C243">
            <v>1318171001</v>
          </cell>
          <cell r="D243" t="str">
            <v>TGR523</v>
          </cell>
          <cell r="E243" t="str">
            <v>KADUSIRUNG</v>
          </cell>
          <cell r="F243"/>
          <cell r="G243"/>
          <cell r="H243"/>
          <cell r="I243" t="str">
            <v>JABODETABEK OUTER</v>
          </cell>
          <cell r="J243" t="str">
            <v>TANGERANG</v>
          </cell>
          <cell r="K243" t="str">
            <v>TSEL</v>
          </cell>
          <cell r="L243" t="str">
            <v>Macro</v>
          </cell>
          <cell r="M243"/>
          <cell r="N243">
            <v>106.61069999999999</v>
          </cell>
          <cell r="O243"/>
          <cell r="P243">
            <v>-6.3145600000000002</v>
          </cell>
          <cell r="Q243"/>
          <cell r="R243" t="str">
            <v>bnp</v>
          </cell>
          <cell r="S243" t="str">
            <v>Aditya Rachaman</v>
          </cell>
          <cell r="T243"/>
          <cell r="U243" t="str">
            <v>RFC</v>
          </cell>
          <cell r="V243" t="str">
            <v>12. RFC</v>
          </cell>
          <cell r="W243"/>
          <cell r="X243"/>
          <cell r="Y243"/>
          <cell r="Z243" t="e">
            <v>#N/A</v>
          </cell>
          <cell r="AA243" t="str">
            <v>RFC done</v>
          </cell>
          <cell r="AB243" t="str">
            <v>RFC done</v>
          </cell>
          <cell r="AC243"/>
          <cell r="AD243"/>
          <cell r="AE243"/>
          <cell r="AF243"/>
          <cell r="AG243"/>
          <cell r="AH243" t="str">
            <v>NEW BUILD</v>
          </cell>
          <cell r="AI243" t="str">
            <v>STIP 1</v>
          </cell>
          <cell r="AJ243" t="str">
            <v>TB</v>
          </cell>
          <cell r="AK243" t="str">
            <v>P</v>
          </cell>
          <cell r="AL243">
            <v>106.61089</v>
          </cell>
          <cell r="AM243">
            <v>-6.3135300000000001</v>
          </cell>
          <cell r="AN243" t="str">
            <v>Kp.Ciakar, RT.01/04, Desa Kadu Sirung, Kec. Pagedangan</v>
          </cell>
          <cell r="AO243" t="str">
            <v>42 m</v>
          </cell>
          <cell r="AP243" t="str">
            <v>BANTEN</v>
          </cell>
        </row>
        <row r="244">
          <cell r="A244" t="str">
            <v>CBN552</v>
          </cell>
          <cell r="B244">
            <v>10587890011</v>
          </cell>
          <cell r="C244">
            <v>1261961001</v>
          </cell>
          <cell r="D244" t="str">
            <v>CBN552</v>
          </cell>
          <cell r="E244" t="str">
            <v>PERMANENCOMBATPUSDIKRESKRIM</v>
          </cell>
          <cell r="F244"/>
          <cell r="G244"/>
          <cell r="H244"/>
          <cell r="I244" t="str">
            <v>JABODETABEK OUTER</v>
          </cell>
          <cell r="J244" t="str">
            <v>BOGOR</v>
          </cell>
          <cell r="K244" t="str">
            <v>TSEL</v>
          </cell>
          <cell r="L244" t="str">
            <v>Macro</v>
          </cell>
          <cell r="M244"/>
          <cell r="N244">
            <v>106.9234</v>
          </cell>
          <cell r="O244"/>
          <cell r="P244">
            <v>-6.6425999999999998</v>
          </cell>
          <cell r="Q244"/>
          <cell r="R244" t="str">
            <v>Orlie</v>
          </cell>
          <cell r="S244" t="str">
            <v>Handri Purnama</v>
          </cell>
          <cell r="T244"/>
          <cell r="U244" t="str">
            <v>RFC</v>
          </cell>
          <cell r="V244" t="str">
            <v>12. RFC</v>
          </cell>
          <cell r="W244"/>
          <cell r="X244"/>
          <cell r="Y244"/>
          <cell r="Z244" t="e">
            <v>#N/A</v>
          </cell>
          <cell r="AA244" t="str">
            <v>RFC done</v>
          </cell>
          <cell r="AB244" t="str">
            <v>RFC done</v>
          </cell>
          <cell r="AC244"/>
          <cell r="AD244"/>
          <cell r="AE244"/>
          <cell r="AF244"/>
          <cell r="AG244"/>
          <cell r="AH244" t="str">
            <v>NEW BUILD</v>
          </cell>
          <cell r="AI244" t="str">
            <v>STIP 1</v>
          </cell>
          <cell r="AJ244" t="str">
            <v>TB</v>
          </cell>
          <cell r="AK244" t="str">
            <v>D</v>
          </cell>
          <cell r="AL244">
            <v>106.92576</v>
          </cell>
          <cell r="AM244" t="str">
            <v>-6.64350</v>
          </cell>
          <cell r="AN244" t="str">
            <v>Megamendung, Bogor, West Java 16770</v>
          </cell>
          <cell r="AO244" t="str">
            <v>52 m</v>
          </cell>
          <cell r="AP244" t="str">
            <v>JAWA BARAT</v>
          </cell>
        </row>
        <row r="245">
          <cell r="A245" t="str">
            <v>KRW224</v>
          </cell>
          <cell r="B245" t="str">
            <v>0010587900011</v>
          </cell>
          <cell r="C245">
            <v>1261971001</v>
          </cell>
          <cell r="D245" t="str">
            <v>KRW224</v>
          </cell>
          <cell r="E245" t="str">
            <v>JLRAYACIKUNGKUNG</v>
          </cell>
          <cell r="F245"/>
          <cell r="G245"/>
          <cell r="H245"/>
          <cell r="I245" t="str">
            <v>JABODETABEK OUTER</v>
          </cell>
          <cell r="J245" t="str">
            <v>KARAWANG</v>
          </cell>
          <cell r="K245" t="str">
            <v>TSEL</v>
          </cell>
          <cell r="L245" t="str">
            <v>Macro</v>
          </cell>
          <cell r="M245"/>
          <cell r="N245">
            <v>107.28279999999999</v>
          </cell>
          <cell r="O245"/>
          <cell r="P245">
            <v>-6.1276999999999999</v>
          </cell>
          <cell r="Q245"/>
          <cell r="R245" t="str">
            <v>Orlie</v>
          </cell>
          <cell r="S245" t="str">
            <v>Handri Purnama</v>
          </cell>
          <cell r="T245"/>
          <cell r="U245" t="str">
            <v>RFC</v>
          </cell>
          <cell r="V245" t="str">
            <v>12. RFC</v>
          </cell>
          <cell r="W245"/>
          <cell r="X245"/>
          <cell r="Y245"/>
          <cell r="Z245" t="e">
            <v>#N/A</v>
          </cell>
          <cell r="AA245" t="str">
            <v>RFC done</v>
          </cell>
          <cell r="AB245" t="str">
            <v>RFC done</v>
          </cell>
          <cell r="AC245"/>
          <cell r="AD245"/>
          <cell r="AE245"/>
          <cell r="AF245"/>
          <cell r="AG245"/>
          <cell r="AH245" t="str">
            <v>NEW BUILD</v>
          </cell>
          <cell r="AI245" t="str">
            <v>STIP 1</v>
          </cell>
          <cell r="AJ245" t="str">
            <v>TB</v>
          </cell>
          <cell r="AK245" t="str">
            <v>P</v>
          </cell>
          <cell r="AL245" t="str">
            <v>107.28315</v>
          </cell>
          <cell r="AM245" t="str">
            <v>-6.12789</v>
          </cell>
          <cell r="AN245" t="str">
            <v>Kp. Pacing utara RT.07 RW. 03 Desa Dewi Sari Kec. Rengasdengklok Kab. Karawang</v>
          </cell>
          <cell r="AO245">
            <v>42</v>
          </cell>
          <cell r="AP245" t="str">
            <v>JAWA BARAT</v>
          </cell>
        </row>
        <row r="246">
          <cell r="A246" t="str">
            <v>KRW238</v>
          </cell>
          <cell r="B246" t="str">
            <v>0010587910011</v>
          </cell>
          <cell r="C246">
            <v>1261981001</v>
          </cell>
          <cell r="D246" t="str">
            <v>KRW238</v>
          </cell>
          <cell r="E246" t="str">
            <v>PERUMAHANRESINDA</v>
          </cell>
          <cell r="F246"/>
          <cell r="G246"/>
          <cell r="H246"/>
          <cell r="I246" t="str">
            <v>JABODETABEK OUTER</v>
          </cell>
          <cell r="J246" t="str">
            <v>KARAWANG</v>
          </cell>
          <cell r="K246" t="str">
            <v>TSEL</v>
          </cell>
          <cell r="L246" t="str">
            <v>Macro</v>
          </cell>
          <cell r="M246"/>
          <cell r="N246">
            <v>107.2748</v>
          </cell>
          <cell r="O246"/>
          <cell r="P246">
            <v>-6.2930900000000003</v>
          </cell>
          <cell r="Q246"/>
          <cell r="R246" t="str">
            <v>Orlie</v>
          </cell>
          <cell r="S246" t="str">
            <v>Handri Purnama</v>
          </cell>
          <cell r="T246"/>
          <cell r="U246" t="str">
            <v>RFC</v>
          </cell>
          <cell r="V246" t="str">
            <v>12. RFC</v>
          </cell>
          <cell r="W246"/>
          <cell r="X246"/>
          <cell r="Y246"/>
          <cell r="Z246" t="e">
            <v>#N/A</v>
          </cell>
          <cell r="AA246" t="str">
            <v>RFC done</v>
          </cell>
          <cell r="AB246" t="str">
            <v>RFC done</v>
          </cell>
          <cell r="AC246"/>
          <cell r="AD246"/>
          <cell r="AE246"/>
          <cell r="AF246"/>
          <cell r="AG246"/>
          <cell r="AH246" t="str">
            <v>NEW BUILD</v>
          </cell>
          <cell r="AI246" t="str">
            <v>STIP 1</v>
          </cell>
          <cell r="AJ246" t="str">
            <v>TB</v>
          </cell>
          <cell r="AK246" t="str">
            <v>Q</v>
          </cell>
          <cell r="AL246" t="str">
            <v>107.27731</v>
          </cell>
          <cell r="AM246" t="str">
            <v>-6.29228</v>
          </cell>
          <cell r="AN246" t="str">
            <v>Dusun Bobojong RT. 06 RW. 03 Desa Purwadana Kec. Teluk Jambe Timur, Kab. Karawang</v>
          </cell>
          <cell r="AO246" t="str">
            <v>42 m</v>
          </cell>
          <cell r="AP246" t="str">
            <v>BANTEN</v>
          </cell>
        </row>
        <row r="247">
          <cell r="A247" t="str">
            <v>KRW198</v>
          </cell>
          <cell r="B247" t="str">
            <v>0010587920011</v>
          </cell>
          <cell r="C247">
            <v>1261991001</v>
          </cell>
          <cell r="D247" t="str">
            <v>KRW198</v>
          </cell>
          <cell r="E247" t="str">
            <v>BELENDUNGKLARI</v>
          </cell>
          <cell r="F247"/>
          <cell r="G247"/>
          <cell r="H247"/>
          <cell r="I247" t="str">
            <v>JABODETABEK OUTER</v>
          </cell>
          <cell r="J247" t="str">
            <v>KARAWANG</v>
          </cell>
          <cell r="K247" t="str">
            <v>TSEL</v>
          </cell>
          <cell r="L247" t="str">
            <v>Macro</v>
          </cell>
          <cell r="M247"/>
          <cell r="N247">
            <v>107.38849999999999</v>
          </cell>
          <cell r="O247"/>
          <cell r="P247">
            <v>-6.3528500000000001</v>
          </cell>
          <cell r="Q247"/>
          <cell r="R247" t="str">
            <v>Orlie</v>
          </cell>
          <cell r="S247" t="str">
            <v>Handri Purnama</v>
          </cell>
          <cell r="T247"/>
          <cell r="U247" t="str">
            <v>RFC</v>
          </cell>
          <cell r="V247" t="str">
            <v>12. RFC</v>
          </cell>
          <cell r="W247"/>
          <cell r="X247"/>
          <cell r="Y247"/>
          <cell r="Z247" t="e">
            <v>#N/A</v>
          </cell>
          <cell r="AA247" t="str">
            <v>RFC done</v>
          </cell>
          <cell r="AB247" t="str">
            <v>RFC done</v>
          </cell>
          <cell r="AC247"/>
          <cell r="AD247"/>
          <cell r="AE247"/>
          <cell r="AF247"/>
          <cell r="AG247"/>
          <cell r="AH247" t="str">
            <v>NEW BUILD</v>
          </cell>
          <cell r="AI247" t="str">
            <v>STIP P</v>
          </cell>
          <cell r="AJ247" t="str">
            <v>TB</v>
          </cell>
          <cell r="AK247" t="str">
            <v>P</v>
          </cell>
          <cell r="AL247">
            <v>107.38802</v>
          </cell>
          <cell r="AM247">
            <v>-6.3519199999999998</v>
          </cell>
          <cell r="AN247" t="str">
            <v>Dusun Pundung RT. 04 RW. 03 Kel. Belendung Kec. Klari, Karawang</v>
          </cell>
          <cell r="AO247" t="str">
            <v>42m</v>
          </cell>
          <cell r="AP247" t="str">
            <v>JAWA BARAT</v>
          </cell>
        </row>
        <row r="248">
          <cell r="A248" t="str">
            <v>SKB144</v>
          </cell>
          <cell r="B248" t="str">
            <v>0010587930011</v>
          </cell>
          <cell r="C248">
            <v>1262001001</v>
          </cell>
          <cell r="D248" t="str">
            <v>SKB144</v>
          </cell>
          <cell r="E248" t="str">
            <v>PANENMAS</v>
          </cell>
          <cell r="F248"/>
          <cell r="G248"/>
          <cell r="H248"/>
          <cell r="I248" t="str">
            <v>JABODETABEK OUTER</v>
          </cell>
          <cell r="J248" t="str">
            <v>SUKABUMI</v>
          </cell>
          <cell r="K248" t="str">
            <v>TSEL</v>
          </cell>
          <cell r="L248" t="str">
            <v>Macro</v>
          </cell>
          <cell r="M248"/>
          <cell r="N248">
            <v>106.812</v>
          </cell>
          <cell r="O248"/>
          <cell r="P248">
            <v>-6.7757100000000001</v>
          </cell>
          <cell r="Q248"/>
          <cell r="R248" t="str">
            <v>bnp</v>
          </cell>
          <cell r="S248" t="str">
            <v>Aditya Rachaman</v>
          </cell>
          <cell r="T248"/>
          <cell r="U248" t="str">
            <v>RFC</v>
          </cell>
          <cell r="V248" t="str">
            <v>12. RFC</v>
          </cell>
          <cell r="W248"/>
          <cell r="X248"/>
          <cell r="Y248"/>
          <cell r="Z248" t="e">
            <v>#N/A</v>
          </cell>
          <cell r="AA248" t="str">
            <v>RFC done</v>
          </cell>
          <cell r="AB248" t="str">
            <v>RFC done</v>
          </cell>
          <cell r="AC248"/>
          <cell r="AD248"/>
          <cell r="AE248"/>
          <cell r="AF248"/>
          <cell r="AG248"/>
          <cell r="AH248" t="str">
            <v>NEW BUILD</v>
          </cell>
          <cell r="AI248" t="str">
            <v>STIP 1</v>
          </cell>
          <cell r="AJ248" t="str">
            <v>TB</v>
          </cell>
          <cell r="AK248" t="str">
            <v>P</v>
          </cell>
          <cell r="AL248">
            <v>106.81386999999999</v>
          </cell>
          <cell r="AM248">
            <v>-6.7752100000000004</v>
          </cell>
          <cell r="AN248" t="str">
            <v>Kp. Manggis Girang RT. 02 RW. 10 Desa Benda Kec. Cicurug Kab. Sukabumi</v>
          </cell>
          <cell r="AO248" t="str">
            <v>42 m</v>
          </cell>
          <cell r="AP248" t="str">
            <v>JAWA BARAT</v>
          </cell>
        </row>
        <row r="249">
          <cell r="A249" t="str">
            <v>TGR529</v>
          </cell>
          <cell r="B249">
            <v>10587940011</v>
          </cell>
          <cell r="C249">
            <v>1318181001</v>
          </cell>
          <cell r="D249" t="str">
            <v>TGR529</v>
          </cell>
          <cell r="E249" t="str">
            <v>GEMPOLSARISEPATANTIMURBANTEN</v>
          </cell>
          <cell r="F249"/>
          <cell r="G249"/>
          <cell r="H249"/>
          <cell r="I249" t="str">
            <v>JABODETABEK OUTER</v>
          </cell>
          <cell r="J249" t="str">
            <v>TANGERANG</v>
          </cell>
          <cell r="K249" t="str">
            <v>TSEL</v>
          </cell>
          <cell r="L249" t="str">
            <v>Macro</v>
          </cell>
          <cell r="M249"/>
          <cell r="N249">
            <v>106.62</v>
          </cell>
          <cell r="O249"/>
          <cell r="P249">
            <v>-6.11</v>
          </cell>
          <cell r="Q249"/>
          <cell r="R249" t="str">
            <v>bnp</v>
          </cell>
          <cell r="S249" t="str">
            <v>Aditya Rachaman</v>
          </cell>
          <cell r="T249"/>
          <cell r="U249" t="str">
            <v>RFC</v>
          </cell>
          <cell r="V249" t="str">
            <v>12. RFC</v>
          </cell>
          <cell r="W249"/>
          <cell r="X249"/>
          <cell r="Y249"/>
          <cell r="Z249" t="e">
            <v>#N/A</v>
          </cell>
          <cell r="AA249" t="str">
            <v>RFC done</v>
          </cell>
          <cell r="AB249" t="str">
            <v>RFC done</v>
          </cell>
          <cell r="AC249"/>
          <cell r="AD249"/>
          <cell r="AE249"/>
          <cell r="AF249"/>
          <cell r="AG249"/>
          <cell r="AH249" t="str">
            <v>NEW BUILD</v>
          </cell>
          <cell r="AI249" t="str">
            <v>STIP 1</v>
          </cell>
          <cell r="AJ249" t="str">
            <v>TB</v>
          </cell>
          <cell r="AK249" t="str">
            <v>Q</v>
          </cell>
          <cell r="AL249" t="str">
            <v>106.61962</v>
          </cell>
          <cell r="AM249" t="str">
            <v>-6.10873</v>
          </cell>
          <cell r="AN249" t="str">
            <v>Kp.Gaga Kecil RT 05/07 Desa Gempol Sari Kecamatan Sepatan Timur</v>
          </cell>
          <cell r="AO249" t="str">
            <v>42 m</v>
          </cell>
          <cell r="AP249" t="str">
            <v>BANTEN</v>
          </cell>
        </row>
        <row r="250">
          <cell r="A250" t="str">
            <v>JAW-JB-BGR-0213</v>
          </cell>
          <cell r="B250">
            <v>30595370031</v>
          </cell>
          <cell r="C250">
            <v>1262131003</v>
          </cell>
          <cell r="D250" t="str">
            <v>JAW-JB-BGR-0213</v>
          </cell>
          <cell r="E250" t="str">
            <v>CIBEBER BARENGKOK</v>
          </cell>
          <cell r="F250">
            <v>44007</v>
          </cell>
          <cell r="G250" t="str">
            <v>JUNI</v>
          </cell>
          <cell r="H250"/>
          <cell r="I250" t="str">
            <v>JABODETABEK OUTER</v>
          </cell>
          <cell r="J250" t="str">
            <v>BOGOR</v>
          </cell>
          <cell r="K250" t="str">
            <v>XL</v>
          </cell>
          <cell r="L250" t="str">
            <v>Macro</v>
          </cell>
          <cell r="M250"/>
          <cell r="N250"/>
          <cell r="O250"/>
          <cell r="P250"/>
          <cell r="Q250"/>
          <cell r="R250"/>
          <cell r="S250"/>
          <cell r="T250"/>
          <cell r="U250" t="str">
            <v>RFC</v>
          </cell>
          <cell r="V250" t="str">
            <v>12. RFC</v>
          </cell>
          <cell r="W250"/>
          <cell r="X250"/>
          <cell r="Y250"/>
          <cell r="Z250" t="e">
            <v>#N/A</v>
          </cell>
          <cell r="AA250" t="str">
            <v>RFC done</v>
          </cell>
          <cell r="AB250" t="str">
            <v>RFC done</v>
          </cell>
          <cell r="AC250"/>
          <cell r="AD250"/>
          <cell r="AE250"/>
          <cell r="AF250"/>
          <cell r="AG250"/>
          <cell r="AH250" t="str">
            <v>NEW BUILD</v>
          </cell>
          <cell r="AI250" t="str">
            <v>STIP 1</v>
          </cell>
          <cell r="AJ250" t="str">
            <v>TB</v>
          </cell>
          <cell r="AK250" t="str">
            <v>A</v>
          </cell>
          <cell r="AL250" t="str">
            <v>106.64031</v>
          </cell>
          <cell r="AM250" t="str">
            <v>-6.60523</v>
          </cell>
          <cell r="AN250" t="str">
            <v>Kp. Citerep 1 RT. 5 RW. 04 Desa Barengkok Kec. Leuwiliang Kab. Bogor</v>
          </cell>
          <cell r="AO250" t="str">
            <v>42 m</v>
          </cell>
          <cell r="AP250" t="str">
            <v>JAWA BARAT</v>
          </cell>
        </row>
        <row r="251">
          <cell r="A251" t="str">
            <v>JAW-JB-BGR-0214</v>
          </cell>
          <cell r="B251">
            <v>30595380031</v>
          </cell>
          <cell r="C251" t="str">
            <v>1262141003</v>
          </cell>
          <cell r="D251" t="str">
            <v>JAW-JB-BGR-0214</v>
          </cell>
          <cell r="E251" t="str">
            <v>MEKARWANGI BOGOR</v>
          </cell>
          <cell r="F251">
            <v>44007</v>
          </cell>
          <cell r="G251" t="str">
            <v>JUNI</v>
          </cell>
          <cell r="H251"/>
          <cell r="I251" t="str">
            <v>JABODETABEK OUTER</v>
          </cell>
          <cell r="J251" t="str">
            <v>BOGOR</v>
          </cell>
          <cell r="K251" t="str">
            <v>XL</v>
          </cell>
          <cell r="L251" t="str">
            <v>Macro</v>
          </cell>
          <cell r="M251"/>
          <cell r="N251"/>
          <cell r="O251"/>
          <cell r="P251"/>
          <cell r="Q251"/>
          <cell r="R251"/>
          <cell r="S251"/>
          <cell r="T251"/>
          <cell r="U251" t="str">
            <v>RFC</v>
          </cell>
          <cell r="V251" t="str">
            <v>12. RFC</v>
          </cell>
          <cell r="W251"/>
          <cell r="X251"/>
          <cell r="Y251"/>
          <cell r="Z251" t="e">
            <v>#N/A</v>
          </cell>
          <cell r="AA251" t="str">
            <v>RFC done</v>
          </cell>
          <cell r="AB251" t="str">
            <v>RFC done</v>
          </cell>
          <cell r="AC251"/>
          <cell r="AD251"/>
          <cell r="AE251"/>
          <cell r="AF251"/>
          <cell r="AG251"/>
          <cell r="AH251" t="str">
            <v>NEW BUILD</v>
          </cell>
          <cell r="AI251" t="str">
            <v>STIP 1</v>
          </cell>
          <cell r="AJ251" t="str">
            <v>TB</v>
          </cell>
          <cell r="AK251" t="str">
            <v>A</v>
          </cell>
          <cell r="AL251">
            <v>107.11857999999999</v>
          </cell>
          <cell r="AM251">
            <v>-6.5209999999999999</v>
          </cell>
          <cell r="AN251" t="str">
            <v>Kp. Jangkar RT. 02 RW. 01 Kel. Mekarwangi Kec. Cariu, Kab, Bogor</v>
          </cell>
          <cell r="AO251" t="str">
            <v>52 m</v>
          </cell>
          <cell r="AP251" t="str">
            <v>JAWA BARAT</v>
          </cell>
        </row>
        <row r="252">
          <cell r="A252" t="str">
            <v>JAW-JB-BGR-0220</v>
          </cell>
          <cell r="B252">
            <v>30595400031</v>
          </cell>
          <cell r="C252" t="str">
            <v>1262161003</v>
          </cell>
          <cell r="D252" t="str">
            <v>JAW-JB-BGR-0220</v>
          </cell>
          <cell r="E252" t="str">
            <v>PARUNG PANJANG BOGOR</v>
          </cell>
          <cell r="F252">
            <v>44007</v>
          </cell>
          <cell r="G252" t="str">
            <v>JUNI</v>
          </cell>
          <cell r="H252"/>
          <cell r="I252" t="str">
            <v>JABODETABEK OUTER</v>
          </cell>
          <cell r="J252" t="str">
            <v>BOGOR</v>
          </cell>
          <cell r="K252" t="str">
            <v>XL</v>
          </cell>
          <cell r="L252" t="str">
            <v>Macro</v>
          </cell>
          <cell r="M252"/>
          <cell r="N252"/>
          <cell r="O252"/>
          <cell r="P252"/>
          <cell r="Q252"/>
          <cell r="R252"/>
          <cell r="S252"/>
          <cell r="T252"/>
          <cell r="U252" t="str">
            <v>RFC</v>
          </cell>
          <cell r="V252" t="str">
            <v>12. RFC</v>
          </cell>
          <cell r="W252"/>
          <cell r="X252"/>
          <cell r="Y252"/>
          <cell r="Z252" t="e">
            <v>#N/A</v>
          </cell>
          <cell r="AA252" t="str">
            <v>RFC done</v>
          </cell>
          <cell r="AB252" t="str">
            <v>RFC done</v>
          </cell>
          <cell r="AC252"/>
          <cell r="AD252"/>
          <cell r="AE252"/>
          <cell r="AF252"/>
          <cell r="AG252"/>
          <cell r="AH252" t="str">
            <v>NEW BUILD</v>
          </cell>
          <cell r="AI252" t="str">
            <v>STIP 1</v>
          </cell>
          <cell r="AJ252" t="str">
            <v>TB</v>
          </cell>
          <cell r="AK252" t="str">
            <v>C</v>
          </cell>
          <cell r="AL252" t="str">
            <v>106.58765</v>
          </cell>
          <cell r="AM252" t="str">
            <v>-6.4141</v>
          </cell>
          <cell r="AN252" t="str">
            <v>Jl. Raya Dago-Parung Panjang RT. 03 RW. 05 Desa Dago Kec. Parung Panjang, Kab. Bogor</v>
          </cell>
          <cell r="AO252" t="str">
            <v>52 m</v>
          </cell>
          <cell r="AP252" t="str">
            <v>JAWA BARAT</v>
          </cell>
        </row>
        <row r="253">
          <cell r="A253" t="str">
            <v>JAW-JB-BGR-0223</v>
          </cell>
          <cell r="B253">
            <v>30595420031</v>
          </cell>
          <cell r="C253">
            <v>1262181003</v>
          </cell>
          <cell r="D253" t="str">
            <v>JAW-JB-BGR-0223</v>
          </cell>
          <cell r="E253" t="str">
            <v>JALAN RAYA CARIU JONGGOL</v>
          </cell>
          <cell r="F253"/>
          <cell r="G253"/>
          <cell r="H253"/>
          <cell r="I253" t="str">
            <v>JABODETABEK OUTER</v>
          </cell>
          <cell r="J253" t="str">
            <v>BOGOR</v>
          </cell>
          <cell r="K253" t="str">
            <v>XL</v>
          </cell>
          <cell r="L253" t="str">
            <v>Macro</v>
          </cell>
          <cell r="M253"/>
          <cell r="N253"/>
          <cell r="O253"/>
          <cell r="P253"/>
          <cell r="Q253"/>
          <cell r="R253"/>
          <cell r="S253"/>
          <cell r="T253"/>
          <cell r="U253" t="str">
            <v>RFC</v>
          </cell>
          <cell r="V253" t="str">
            <v>12. RFC</v>
          </cell>
          <cell r="W253"/>
          <cell r="X253"/>
          <cell r="Y253"/>
          <cell r="Z253" t="e">
            <v>#N/A</v>
          </cell>
          <cell r="AA253" t="str">
            <v>RFC done</v>
          </cell>
          <cell r="AB253" t="str">
            <v>RFC done</v>
          </cell>
          <cell r="AC253"/>
          <cell r="AD253"/>
          <cell r="AE253"/>
          <cell r="AF253"/>
          <cell r="AG253"/>
          <cell r="AH253" t="str">
            <v>NEW BUILD</v>
          </cell>
          <cell r="AI253" t="str">
            <v>STIP 1</v>
          </cell>
          <cell r="AJ253" t="str">
            <v>TB</v>
          </cell>
          <cell r="AK253" t="str">
            <v>A</v>
          </cell>
          <cell r="AL253">
            <v>107.10965</v>
          </cell>
          <cell r="AM253">
            <v>-6.4860699999999998</v>
          </cell>
          <cell r="AN253" t="str">
            <v>Jl. Raya Cariu Jonggol Kp. Seredang RT. 10 RW. 03 Kel. Tegal Panjang Kec. Cariu, Kab. Bogor</v>
          </cell>
          <cell r="AO253" t="str">
            <v>42 m</v>
          </cell>
          <cell r="AP253" t="str">
            <v>JAWA BARAT</v>
          </cell>
        </row>
        <row r="254">
          <cell r="A254" t="str">
            <v>JAW-JB-BGR-0224</v>
          </cell>
          <cell r="B254" t="str">
            <v>0030595430031</v>
          </cell>
          <cell r="C254" t="str">
            <v xml:space="preserve"> 1262191003</v>
          </cell>
          <cell r="D254" t="str">
            <v>JAW-JB-BGR-0224</v>
          </cell>
          <cell r="E254" t="str">
            <v>CIPINANG RUMPIN BOGOR</v>
          </cell>
          <cell r="F254"/>
          <cell r="G254"/>
          <cell r="H254"/>
          <cell r="I254" t="str">
            <v>JABODETABEK OUTER</v>
          </cell>
          <cell r="J254" t="str">
            <v>BOGOR</v>
          </cell>
          <cell r="K254" t="str">
            <v>XL</v>
          </cell>
          <cell r="L254" t="str">
            <v>Macro</v>
          </cell>
          <cell r="M254"/>
          <cell r="N254"/>
          <cell r="O254"/>
          <cell r="P254"/>
          <cell r="Q254"/>
          <cell r="R254"/>
          <cell r="S254"/>
          <cell r="T254"/>
          <cell r="U254" t="str">
            <v>RFC</v>
          </cell>
          <cell r="V254" t="str">
            <v>12. RFC</v>
          </cell>
          <cell r="W254"/>
          <cell r="X254"/>
          <cell r="Y254"/>
          <cell r="Z254" t="e">
            <v>#N/A</v>
          </cell>
          <cell r="AA254" t="str">
            <v>RFC done</v>
          </cell>
          <cell r="AB254" t="str">
            <v>RFC done</v>
          </cell>
          <cell r="AC254"/>
          <cell r="AD254"/>
          <cell r="AE254"/>
          <cell r="AF254"/>
          <cell r="AG254"/>
          <cell r="AH254" t="str">
            <v>NEW BUILD</v>
          </cell>
          <cell r="AI254" t="str">
            <v>STIP 1</v>
          </cell>
          <cell r="AJ254" t="str">
            <v>TB</v>
          </cell>
          <cell r="AK254" t="str">
            <v>C</v>
          </cell>
          <cell r="AL254">
            <v>106.617667</v>
          </cell>
          <cell r="AM254">
            <v>-6.4400279999999999</v>
          </cell>
          <cell r="AN254" t="str">
            <v>Kp. GN Cabe RT. 01 RW. 04 Kel. Cipinang Kec. Rumpin Kab. Bogor</v>
          </cell>
          <cell r="AO254" t="str">
            <v>52 m</v>
          </cell>
          <cell r="AP254" t="str">
            <v>JAWA BARAT</v>
          </cell>
        </row>
        <row r="255">
          <cell r="A255" t="str">
            <v>SRG261</v>
          </cell>
          <cell r="B255"/>
          <cell r="C255"/>
          <cell r="D255" t="str">
            <v>SRG261</v>
          </cell>
          <cell r="E255" t="str">
            <v>SITUTERATECIKANDE</v>
          </cell>
          <cell r="F255"/>
          <cell r="G255"/>
          <cell r="H255"/>
          <cell r="I255" t="str">
            <v>JABODETABEK OUTER</v>
          </cell>
          <cell r="J255" t="str">
            <v>KAB. SERANG</v>
          </cell>
          <cell r="K255" t="str">
            <v>TSEL</v>
          </cell>
          <cell r="L255" t="str">
            <v>Macro</v>
          </cell>
          <cell r="M255"/>
          <cell r="N255"/>
          <cell r="O255"/>
          <cell r="P255"/>
          <cell r="Q255"/>
          <cell r="R255"/>
          <cell r="S255"/>
          <cell r="T255"/>
          <cell r="U255" t="str">
            <v>RFC</v>
          </cell>
          <cell r="V255" t="str">
            <v>12. RFC</v>
          </cell>
          <cell r="W255"/>
          <cell r="X255"/>
          <cell r="Y255"/>
          <cell r="Z255" t="e">
            <v>#N/A</v>
          </cell>
          <cell r="AA255" t="str">
            <v>RFC done</v>
          </cell>
          <cell r="AB255" t="str">
            <v>RFC done</v>
          </cell>
          <cell r="AC255"/>
          <cell r="AD255"/>
          <cell r="AE255"/>
          <cell r="AF255"/>
          <cell r="AG255"/>
          <cell r="AH255" t="str">
            <v>NEW BUILD</v>
          </cell>
          <cell r="AI255" t="str">
            <v>STIP 1</v>
          </cell>
          <cell r="AJ255" t="str">
            <v>TB</v>
          </cell>
          <cell r="AK255" t="str">
            <v>Q</v>
          </cell>
          <cell r="AL255">
            <v>106.34232</v>
          </cell>
          <cell r="AM255">
            <v>-6.2082199999999998</v>
          </cell>
          <cell r="AN255" t="str">
            <v xml:space="preserve">Kp. Cirendol ,  Desa Lewilimus, Kec. Cikande, Kab Serang </v>
          </cell>
          <cell r="AO255" t="str">
            <v>42 m</v>
          </cell>
          <cell r="AP255" t="str">
            <v>BANTEN</v>
          </cell>
        </row>
        <row r="256">
          <cell r="A256" t="str">
            <v xml:space="preserve"> JAW-JK-TJP-0679</v>
          </cell>
          <cell r="B256" t="str">
            <v>0030594980031</v>
          </cell>
          <cell r="C256" t="str">
            <v>1128751003</v>
          </cell>
          <cell r="D256" t="str">
            <v xml:space="preserve"> JAW-JK-TJP-0679</v>
          </cell>
          <cell r="E256" t="str">
            <v>LONTAR DALAM KOJA</v>
          </cell>
          <cell r="F256"/>
          <cell r="G256"/>
          <cell r="H256"/>
          <cell r="I256" t="str">
            <v>JABODETABEK (INNER)</v>
          </cell>
          <cell r="J256" t="str">
            <v>JAKARTA UTARA</v>
          </cell>
          <cell r="K256" t="str">
            <v>XL</v>
          </cell>
          <cell r="L256" t="str">
            <v>MCP</v>
          </cell>
          <cell r="M256"/>
          <cell r="N256"/>
          <cell r="O256"/>
          <cell r="P256"/>
          <cell r="Q256"/>
          <cell r="R256" t="str">
            <v>KLS</v>
          </cell>
          <cell r="S256" t="str">
            <v>Aditya Rachman</v>
          </cell>
          <cell r="T256" t="str">
            <v>17000000/10 tahun</v>
          </cell>
          <cell r="U256" t="str">
            <v>SITAC</v>
          </cell>
          <cell r="V256" t="str">
            <v>10. Rekom Lurcam</v>
          </cell>
          <cell r="W256"/>
          <cell r="X256" t="str">
            <v>November</v>
          </cell>
          <cell r="Y256"/>
          <cell r="Z256"/>
          <cell r="AA256" t="str">
            <v>Problem Rekom Lurcam (Lurah terkena Covid)</v>
          </cell>
          <cell r="AB256" t="str">
            <v>Meminta surat pengganti/surat Kuasa kepada Sekcam</v>
          </cell>
          <cell r="AC256"/>
          <cell r="AD256"/>
          <cell r="AE256" t="str">
            <v>30.10.20 - Meminta Surat Kuasa Lurah kepada SEKCAM</v>
          </cell>
          <cell r="AF256"/>
          <cell r="AG256"/>
          <cell r="AH256" t="str">
            <v>MCP</v>
          </cell>
          <cell r="AI256" t="str">
            <v>STIP 1</v>
          </cell>
          <cell r="AJ256" t="str">
            <v>TB</v>
          </cell>
          <cell r="AK256" t="str">
            <v>B</v>
          </cell>
          <cell r="AL256" t="str">
            <v>106.91353</v>
          </cell>
          <cell r="AM256" t="str">
            <v>-6.11881</v>
          </cell>
          <cell r="AN256" t="str">
            <v>Jl. Mahoni Blok F No. 1A Kel. Tugu Utara Kec. Koja, Jakarta Utara</v>
          </cell>
          <cell r="AO256" t="str">
            <v>20 m</v>
          </cell>
          <cell r="AP256" t="str">
            <v>DKI JAKARTA</v>
          </cell>
        </row>
        <row r="257">
          <cell r="A257" t="str">
            <v>JSX825</v>
          </cell>
          <cell r="B257"/>
          <cell r="C257"/>
          <cell r="D257" t="str">
            <v>JSX825</v>
          </cell>
          <cell r="E257" t="str">
            <v>JLKOSTRAD</v>
          </cell>
          <cell r="F257"/>
          <cell r="G257"/>
          <cell r="H257"/>
          <cell r="I257" t="str">
            <v>JABODETABEK (INNER)</v>
          </cell>
          <cell r="J257" t="str">
            <v>JAKARTA SELATAN</v>
          </cell>
          <cell r="K257" t="str">
            <v>TSEL</v>
          </cell>
          <cell r="L257" t="str">
            <v>MCP</v>
          </cell>
          <cell r="M257"/>
          <cell r="N257"/>
          <cell r="O257"/>
          <cell r="P257"/>
          <cell r="Q257"/>
          <cell r="R257"/>
          <cell r="S257"/>
          <cell r="T257"/>
          <cell r="U257" t="str">
            <v>RFC</v>
          </cell>
          <cell r="V257" t="str">
            <v>12. RFC</v>
          </cell>
          <cell r="W257"/>
          <cell r="X257"/>
          <cell r="Y257"/>
          <cell r="Z257"/>
          <cell r="AA257" t="str">
            <v>RFC done</v>
          </cell>
          <cell r="AB257" t="str">
            <v>RFC done</v>
          </cell>
          <cell r="AC257"/>
          <cell r="AD257"/>
          <cell r="AE257"/>
          <cell r="AF257"/>
          <cell r="AG257"/>
          <cell r="AH257" t="str">
            <v>MCP</v>
          </cell>
          <cell r="AI257" t="str">
            <v>STIP 1</v>
          </cell>
          <cell r="AJ257" t="str">
            <v>TB</v>
          </cell>
          <cell r="AK257" t="str">
            <v>U</v>
          </cell>
          <cell r="AL257" t="str">
            <v>106.7606</v>
          </cell>
          <cell r="AM257" t="str">
            <v>-6.23304</v>
          </cell>
          <cell r="AN257" t="str">
            <v>Jl. Swadarma Raya No. 29 rt. 01 rw. 08 kel. Ulujami Kec. Pesanggrahan, Jakarta Selatan</v>
          </cell>
          <cell r="AO257" t="str">
            <v>20 m</v>
          </cell>
          <cell r="AP257" t="str">
            <v>DKI JAKARTA</v>
          </cell>
        </row>
        <row r="258">
          <cell r="A258" t="str">
            <v>JAW-JB-BKS-0708</v>
          </cell>
          <cell r="B258" t="str">
            <v>0030595820031</v>
          </cell>
          <cell r="C258">
            <v>1262221003</v>
          </cell>
          <cell r="D258" t="str">
            <v>JAW-JB-BKS-0708</v>
          </cell>
          <cell r="E258" t="str">
            <v>BINTARA KENCANA TIMUR</v>
          </cell>
          <cell r="F258"/>
          <cell r="G258"/>
          <cell r="H258"/>
          <cell r="I258" t="str">
            <v>JABODETABEK (OUTER)</v>
          </cell>
          <cell r="J258" t="str">
            <v>KOTA BEKASI</v>
          </cell>
          <cell r="K258" t="str">
            <v>XL</v>
          </cell>
          <cell r="L258" t="str">
            <v>B2S</v>
          </cell>
          <cell r="M258"/>
          <cell r="N258"/>
          <cell r="O258"/>
          <cell r="P258"/>
          <cell r="Q258"/>
          <cell r="R258"/>
          <cell r="S258" t="str">
            <v>Aditya Rachman</v>
          </cell>
          <cell r="T258"/>
          <cell r="U258" t="str">
            <v>SITAC</v>
          </cell>
          <cell r="V258" t="str">
            <v xml:space="preserve">06. IW OG </v>
          </cell>
          <cell r="W258"/>
          <cell r="X258" t="str">
            <v>November</v>
          </cell>
          <cell r="Y258"/>
          <cell r="Z258"/>
          <cell r="AA258" t="str">
            <v xml:space="preserve">Nyari biaya CAPEX, </v>
          </cell>
          <cell r="AB258" t="str">
            <v>Pak Meg</v>
          </cell>
          <cell r="AC258"/>
          <cell r="AD258"/>
          <cell r="AE258"/>
          <cell r="AF258"/>
          <cell r="AG258"/>
          <cell r="AH258" t="str">
            <v>NEW BUILD</v>
          </cell>
          <cell r="AI258" t="str">
            <v>STIP 1</v>
          </cell>
          <cell r="AJ258" t="str">
            <v>TB</v>
          </cell>
          <cell r="AK258" t="str">
            <v>D</v>
          </cell>
          <cell r="AL258" t="str">
            <v>106.95764</v>
          </cell>
          <cell r="AM258" t="str">
            <v>-6.22488</v>
          </cell>
          <cell r="AN258" t="str">
            <v>Jl. Bintara 8 RT 04 RW 03 Kel. Bintara Kec. Bekasi Barat Kota Bekasi</v>
          </cell>
          <cell r="AO258" t="str">
            <v>32 m</v>
          </cell>
          <cell r="AP258" t="str">
            <v>JAWA BARAT</v>
          </cell>
        </row>
        <row r="259">
          <cell r="A259" t="str">
            <v xml:space="preserve"> JAW-JB-BGR-0222</v>
          </cell>
          <cell r="B259" t="str">
            <v>0030595410031</v>
          </cell>
          <cell r="C259">
            <v>1262171003</v>
          </cell>
          <cell r="D259" t="str">
            <v xml:space="preserve"> JAW-JB-BGR-0222</v>
          </cell>
          <cell r="E259" t="str">
            <v>BABAKAN MADANG BOGOR</v>
          </cell>
          <cell r="F259"/>
          <cell r="G259"/>
          <cell r="H259"/>
          <cell r="I259" t="str">
            <v>JABODETABEK (OUTER)</v>
          </cell>
          <cell r="J259" t="str">
            <v>BOGOR</v>
          </cell>
          <cell r="K259" t="str">
            <v>XL</v>
          </cell>
          <cell r="L259" t="str">
            <v>Macro</v>
          </cell>
          <cell r="M259"/>
          <cell r="N259"/>
          <cell r="O259"/>
          <cell r="P259"/>
          <cell r="Q259"/>
          <cell r="R259"/>
          <cell r="S259"/>
          <cell r="T259"/>
          <cell r="U259" t="str">
            <v>RFC</v>
          </cell>
          <cell r="V259" t="str">
            <v xml:space="preserve">15. Tower Foundation </v>
          </cell>
          <cell r="W259"/>
          <cell r="X259"/>
          <cell r="Y259"/>
          <cell r="Z259"/>
          <cell r="AA259" t="str">
            <v>RFC done</v>
          </cell>
          <cell r="AB259" t="str">
            <v>RFC system OG</v>
          </cell>
          <cell r="AC259"/>
          <cell r="AD259"/>
          <cell r="AE259"/>
          <cell r="AF259"/>
          <cell r="AG259"/>
          <cell r="AH259" t="str">
            <v>NEW BUILD</v>
          </cell>
          <cell r="AI259" t="str">
            <v>STIP 1</v>
          </cell>
          <cell r="AJ259" t="str">
            <v>TB</v>
          </cell>
          <cell r="AK259" t="str">
            <v>E</v>
          </cell>
          <cell r="AL259" t="str">
            <v>106.90257</v>
          </cell>
          <cell r="AM259" t="str">
            <v>-6.62145</v>
          </cell>
          <cell r="AN259" t="str">
            <v>Kp Curug RT. 02 RW. 09 Desa Bojong Koneng Kec. Babakan Madang, Kab Bogor</v>
          </cell>
          <cell r="AO259" t="str">
            <v>52 m</v>
          </cell>
          <cell r="AP259" t="str">
            <v>JAWA BARAT</v>
          </cell>
        </row>
        <row r="260">
          <cell r="A260" t="str">
            <v>JSX900</v>
          </cell>
          <cell r="B260" t="str">
            <v>0010601850011</v>
          </cell>
          <cell r="C260" t="str">
            <v>1129191001</v>
          </cell>
          <cell r="D260" t="str">
            <v>JSX900</v>
          </cell>
          <cell r="E260" t="str">
            <v>KEBONBARUTEBET</v>
          </cell>
          <cell r="F260"/>
          <cell r="G260"/>
          <cell r="H260"/>
          <cell r="I260" t="str">
            <v>JABODETABEK (INNER)</v>
          </cell>
          <cell r="J260" t="str">
            <v>JAKARTA SELATAN</v>
          </cell>
          <cell r="K260" t="str">
            <v>TSEL</v>
          </cell>
          <cell r="L260" t="str">
            <v>MCP</v>
          </cell>
          <cell r="M260"/>
          <cell r="N260"/>
          <cell r="O260"/>
          <cell r="P260"/>
          <cell r="Q260"/>
          <cell r="R260"/>
          <cell r="S260"/>
          <cell r="T260"/>
          <cell r="U260" t="str">
            <v>RFC</v>
          </cell>
          <cell r="V260" t="str">
            <v>12. RFC</v>
          </cell>
          <cell r="W260"/>
          <cell r="X260"/>
          <cell r="Y260"/>
          <cell r="Z260"/>
          <cell r="AA260" t="str">
            <v>RFC done</v>
          </cell>
          <cell r="AB260" t="str">
            <v>RFC done</v>
          </cell>
          <cell r="AC260"/>
          <cell r="AD260"/>
          <cell r="AE260"/>
          <cell r="AF260"/>
          <cell r="AG260"/>
          <cell r="AH260" t="str">
            <v>MCP</v>
          </cell>
          <cell r="AI260" t="str">
            <v>STIP 1</v>
          </cell>
          <cell r="AJ260" t="str">
            <v>TB</v>
          </cell>
          <cell r="AK260" t="str">
            <v>T</v>
          </cell>
          <cell r="AL260" t="str">
            <v>106.8637</v>
          </cell>
          <cell r="AM260" t="str">
            <v>-6.2349</v>
          </cell>
          <cell r="AN260" t="str">
            <v>Jl. H. RT. 04 RW. 08 Kel. Kebon Baru Kec. Tebet, Jakarta Selatan, DKI Jakarta</v>
          </cell>
          <cell r="AO260" t="str">
            <v>20 m</v>
          </cell>
          <cell r="AP260" t="str">
            <v>DKI JAKARTA</v>
          </cell>
        </row>
        <row r="261">
          <cell r="A261" t="str">
            <v>JAW-BT-CPT-0447</v>
          </cell>
          <cell r="B261" t="str">
            <v>0030594960031</v>
          </cell>
          <cell r="C261">
            <v>1318231003</v>
          </cell>
          <cell r="D261" t="str">
            <v>JAW-BT-CPT-0447</v>
          </cell>
          <cell r="E261" t="str">
            <v>JALAN MENTAWAI TOL</v>
          </cell>
          <cell r="F261"/>
          <cell r="G261"/>
          <cell r="H261"/>
          <cell r="I261" t="str">
            <v>JABODETABEK (OUTER)</v>
          </cell>
          <cell r="J261" t="str">
            <v>TANGERANG SELATAN</v>
          </cell>
          <cell r="K261" t="str">
            <v>XL</v>
          </cell>
          <cell r="L261" t="str">
            <v>MCP</v>
          </cell>
          <cell r="M261"/>
          <cell r="N261"/>
          <cell r="O261"/>
          <cell r="P261"/>
          <cell r="Q261"/>
          <cell r="R261" t="str">
            <v>BNP</v>
          </cell>
          <cell r="S261" t="str">
            <v>Aditya Rachman</v>
          </cell>
          <cell r="T261"/>
          <cell r="U261" t="str">
            <v>SITAC</v>
          </cell>
          <cell r="V261" t="str">
            <v xml:space="preserve">06. IW OG </v>
          </cell>
          <cell r="W261"/>
          <cell r="X261" t="str">
            <v>November</v>
          </cell>
          <cell r="Y261"/>
          <cell r="Z261"/>
          <cell r="AA261" t="str">
            <v>IW Clear, Rekom Lurah done rekom camat NY</v>
          </cell>
          <cell r="AB261" t="str">
            <v>pak jimmy</v>
          </cell>
          <cell r="AC261"/>
          <cell r="AD261"/>
          <cell r="AE261"/>
          <cell r="AF261"/>
          <cell r="AG261"/>
          <cell r="AH261" t="str">
            <v>MCP</v>
          </cell>
          <cell r="AI261" t="str">
            <v>STIP 1</v>
          </cell>
          <cell r="AJ261" t="str">
            <v>TB</v>
          </cell>
          <cell r="AK261" t="str">
            <v>B</v>
          </cell>
          <cell r="AL261" t="str">
            <v>106.69607</v>
          </cell>
          <cell r="AM261" t="str">
            <v>-6.29977</v>
          </cell>
          <cell r="AN261" t="str">
            <v>Kp. Rawa Lele RT. 06 RW. 10 Kel. Jombang Kec. Ciputat, Tangerang Selatan</v>
          </cell>
          <cell r="AO261" t="str">
            <v>20 m</v>
          </cell>
          <cell r="AP261" t="str">
            <v>BANTEN</v>
          </cell>
        </row>
        <row r="262">
          <cell r="E262" t="str">
            <v>AWILEGA</v>
          </cell>
          <cell r="F262">
            <v>44097</v>
          </cell>
          <cell r="G262">
            <v>44075</v>
          </cell>
          <cell r="H262"/>
          <cell r="I262" t="str">
            <v>JABODETABEK (OUTER)</v>
          </cell>
          <cell r="J262" t="str">
            <v>SUKABUMI</v>
          </cell>
          <cell r="K262" t="str">
            <v>TSEL</v>
          </cell>
        </row>
        <row r="263">
          <cell r="E263" t="str">
            <v>PURA GUNUNG SALAK PERMANEN</v>
          </cell>
          <cell r="F263">
            <v>43904</v>
          </cell>
          <cell r="G263">
            <v>43891</v>
          </cell>
          <cell r="I263" t="str">
            <v>JABODETABEK (OUTER)</v>
          </cell>
          <cell r="J263" t="str">
            <v>BOGOR</v>
          </cell>
          <cell r="K263" t="str">
            <v>XL</v>
          </cell>
        </row>
        <row r="264">
          <cell r="E264" t="str">
            <v>SWASEMBADA TANJUNG PRIOK</v>
          </cell>
          <cell r="F264">
            <v>44006</v>
          </cell>
          <cell r="G264">
            <v>43983</v>
          </cell>
          <cell r="I264" t="str">
            <v>JABODETABEK (INNER)</v>
          </cell>
          <cell r="J264" t="str">
            <v>JAKARTA UTARA</v>
          </cell>
          <cell r="K264" t="str">
            <v>XL</v>
          </cell>
        </row>
        <row r="265">
          <cell r="E265" t="str">
            <v>CILEUKSA SUKAJAYA</v>
          </cell>
          <cell r="F265">
            <v>44007</v>
          </cell>
          <cell r="G265">
            <v>43983</v>
          </cell>
          <cell r="I265" t="str">
            <v>JABODETABEK (OUTER)</v>
          </cell>
          <cell r="J265" t="str">
            <v>BOGOR</v>
          </cell>
          <cell r="K265" t="str">
            <v>XL</v>
          </cell>
        </row>
        <row r="266">
          <cell r="E266" t="str">
            <v>JL.BUDIMULYAUTARA</v>
          </cell>
        </row>
      </sheetData>
      <sheetData sheetId="3"/>
      <sheetData sheetId="4"/>
      <sheetData sheetId="5"/>
      <sheetData sheetId="6"/>
      <sheetData sheetId="7"/>
      <sheetData sheetId="8"/>
      <sheetData sheetId="9"/>
      <sheetData sheetId="10"/>
      <sheetData sheetId="11"/>
      <sheetData sheetId="12"/>
      <sheetData sheetId="13"/>
      <sheetData sheetId="14"/>
      <sheetData sheetId="15"/>
    </sheetDataSet>
  </externalBook>
</externalLink>
</file>

<file path=xl/externalLinks/externalLink4.xml><?xml version="1.0" encoding="utf-8"?>
<externalLink xmlns="http://schemas.openxmlformats.org/spreadsheetml/2006/main" xmlns:mc="http://schemas.openxmlformats.org/markup-compatibility/2006" xmlns:x14="http://schemas.microsoft.com/office/spreadsheetml/2009/9/main" mc:Ignorable="x14">
  <externalBook xmlns:r="http://schemas.openxmlformats.org/officeDocument/2006/relationships" r:id="rId1">
    <sheetNames>
      <sheetName val="DRM B2S"/>
      <sheetName val="DRM"/>
      <sheetName val="Sheet2"/>
      <sheetName val="Sheet1"/>
    </sheetNames>
    <sheetDataSet>
      <sheetData sheetId="0" refreshError="1"/>
      <sheetData sheetId="1" refreshError="1">
        <row r="4">
          <cell r="C4" t="str">
            <v>KoM No.</v>
          </cell>
          <cell r="D4" t="str">
            <v>Regional</v>
          </cell>
          <cell r="E4" t="str">
            <v>Site ID</v>
          </cell>
          <cell r="F4" t="str">
            <v>Site Name</v>
          </cell>
          <cell r="G4" t="str">
            <v>SoW</v>
          </cell>
          <cell r="H4" t="str">
            <v>Long</v>
          </cell>
          <cell r="I4" t="str">
            <v>Lat</v>
          </cell>
          <cell r="J4" t="str">
            <v>Site ID</v>
          </cell>
          <cell r="K4" t="str">
            <v>Site Name</v>
          </cell>
        </row>
        <row r="5">
          <cell r="C5" t="str">
            <v>JBX440</v>
          </cell>
          <cell r="D5" t="str">
            <v>Jabodetabek</v>
          </cell>
          <cell r="E5" t="str">
            <v>JBX440</v>
          </cell>
          <cell r="G5" t="str">
            <v>MCP</v>
          </cell>
          <cell r="H5">
            <v>106.72929999999999</v>
          </cell>
          <cell r="I5">
            <v>-6.2190000000000003</v>
          </cell>
          <cell r="J5" t="str">
            <v>JBX440</v>
          </cell>
          <cell r="K5" t="str">
            <v>PERMANENCMBTALMUBAROKJOGLO</v>
          </cell>
        </row>
        <row r="6">
          <cell r="C6" t="str">
            <v>JUX569</v>
          </cell>
          <cell r="D6" t="str">
            <v>Jabodetabek</v>
          </cell>
          <cell r="E6" t="str">
            <v>JUX569</v>
          </cell>
          <cell r="F6" t="str">
            <v>PERMANENCOMBATTERMPENUMPANG</v>
          </cell>
          <cell r="G6" t="str">
            <v>MCP</v>
          </cell>
          <cell r="H6">
            <v>106.8805</v>
          </cell>
          <cell r="I6">
            <v>-6.1032000000000002</v>
          </cell>
          <cell r="J6" t="str">
            <v>JUX569</v>
          </cell>
          <cell r="K6" t="str">
            <v>PERMANENCOMBATTERMPENUMPANG</v>
          </cell>
        </row>
        <row r="7">
          <cell r="C7" t="str">
            <v>JUX570</v>
          </cell>
          <cell r="D7" t="str">
            <v>Jabodetabek</v>
          </cell>
          <cell r="E7" t="str">
            <v>JUX570</v>
          </cell>
          <cell r="G7" t="str">
            <v>MCP</v>
          </cell>
          <cell r="H7">
            <v>106.9645</v>
          </cell>
          <cell r="I7">
            <v>-6.0955000000000004</v>
          </cell>
          <cell r="J7" t="str">
            <v>JUX570</v>
          </cell>
        </row>
        <row r="8">
          <cell r="C8" t="str">
            <v>JUX570</v>
          </cell>
          <cell r="D8" t="str">
            <v>Jabodetabek</v>
          </cell>
          <cell r="E8" t="str">
            <v>JUX570</v>
          </cell>
          <cell r="F8" t="str">
            <v>PERMANENCOMBATRUSUNMARUNDA</v>
          </cell>
          <cell r="G8" t="str">
            <v>MCP</v>
          </cell>
          <cell r="H8">
            <v>106.9645</v>
          </cell>
          <cell r="I8">
            <v>-6.0955000000000004</v>
          </cell>
          <cell r="J8" t="str">
            <v>JUX570</v>
          </cell>
          <cell r="K8" t="str">
            <v>PERMANENCOMBATRUSUNMARUNDA</v>
          </cell>
        </row>
        <row r="9">
          <cell r="C9" t="str">
            <v>JUX583</v>
          </cell>
          <cell r="D9" t="str">
            <v>Jabodetabek</v>
          </cell>
          <cell r="E9" t="str">
            <v>JUX583</v>
          </cell>
          <cell r="F9" t="str">
            <v>PERMANENCOMBATKEPANDUANPELINDO</v>
          </cell>
          <cell r="G9" t="str">
            <v>MCP</v>
          </cell>
          <cell r="H9">
            <v>106.8865</v>
          </cell>
          <cell r="I9">
            <v>-6.0970399999999998</v>
          </cell>
          <cell r="J9" t="str">
            <v>JUX583</v>
          </cell>
          <cell r="K9" t="str">
            <v>PERMANENCOMBATKEPANDUANPELINDO</v>
          </cell>
        </row>
        <row r="10">
          <cell r="C10" t="str">
            <v>JUX584</v>
          </cell>
          <cell r="D10" t="str">
            <v>Jabodetabek</v>
          </cell>
          <cell r="E10" t="str">
            <v>JUX584</v>
          </cell>
          <cell r="G10" t="str">
            <v>MCP</v>
          </cell>
          <cell r="H10">
            <v>106.7948</v>
          </cell>
          <cell r="I10">
            <v>-6.1281699999999999</v>
          </cell>
          <cell r="J10" t="str">
            <v>JUX584</v>
          </cell>
        </row>
        <row r="11">
          <cell r="C11" t="str">
            <v>JUX584</v>
          </cell>
          <cell r="D11" t="str">
            <v>Jabodetabek</v>
          </cell>
          <cell r="E11" t="str">
            <v>JUX584</v>
          </cell>
          <cell r="G11" t="str">
            <v>MCP</v>
          </cell>
          <cell r="H11">
            <v>106.7948</v>
          </cell>
          <cell r="I11">
            <v>-6.1281699999999999</v>
          </cell>
          <cell r="J11" t="str">
            <v>JUX584</v>
          </cell>
        </row>
        <row r="12">
          <cell r="C12" t="str">
            <v>SKB904</v>
          </cell>
          <cell r="D12" t="str">
            <v>Jabodetabek</v>
          </cell>
          <cell r="E12" t="str">
            <v>SKB904</v>
          </cell>
          <cell r="F12" t="str">
            <v>DAYEUHLUHURWARUDOYONG</v>
          </cell>
          <cell r="G12" t="str">
            <v>B2S</v>
          </cell>
          <cell r="H12">
            <v>106.9191</v>
          </cell>
          <cell r="I12">
            <v>-6.9402100000000004</v>
          </cell>
          <cell r="J12" t="str">
            <v>SKB904</v>
          </cell>
          <cell r="K12" t="str">
            <v>DAYEUHLUHURWARUDOYONG</v>
          </cell>
        </row>
        <row r="13">
          <cell r="C13" t="str">
            <v>SKB904</v>
          </cell>
          <cell r="D13" t="str">
            <v>Jabodetabek</v>
          </cell>
          <cell r="E13" t="str">
            <v>SKB904</v>
          </cell>
          <cell r="F13" t="str">
            <v>DAYEUHLUHURWARUDOYONG</v>
          </cell>
          <cell r="G13" t="str">
            <v>B2S</v>
          </cell>
          <cell r="H13">
            <v>106.9191</v>
          </cell>
          <cell r="I13">
            <v>-6.9402100000000004</v>
          </cell>
          <cell r="J13" t="str">
            <v>SKB904</v>
          </cell>
          <cell r="K13" t="str">
            <v>DAYEUHLUHURWARUDOYONG</v>
          </cell>
        </row>
        <row r="14">
          <cell r="C14" t="str">
            <v>TNX314</v>
          </cell>
          <cell r="D14" t="str">
            <v>Jabodetabek</v>
          </cell>
          <cell r="E14" t="str">
            <v>TNX314</v>
          </cell>
          <cell r="F14" t="str">
            <v>PAJAJARANTANGERANG</v>
          </cell>
          <cell r="G14" t="str">
            <v>B2S</v>
          </cell>
          <cell r="H14">
            <v>106.5812</v>
          </cell>
          <cell r="I14">
            <v>-6.2052500000000004</v>
          </cell>
          <cell r="J14" t="str">
            <v>TNX314</v>
          </cell>
          <cell r="K14" t="str">
            <v>PAJAJARANTANGERANG</v>
          </cell>
        </row>
        <row r="15">
          <cell r="C15" t="str">
            <v>TGR523</v>
          </cell>
          <cell r="D15" t="str">
            <v>Jabodetabek</v>
          </cell>
          <cell r="E15" t="str">
            <v>TGR523</v>
          </cell>
          <cell r="F15" t="str">
            <v>KADUSIRUNG</v>
          </cell>
          <cell r="G15" t="str">
            <v>B2S</v>
          </cell>
          <cell r="H15">
            <v>106.61069999999999</v>
          </cell>
          <cell r="I15">
            <v>-6.3145600000000002</v>
          </cell>
          <cell r="J15" t="str">
            <v>TGR523</v>
          </cell>
          <cell r="K15" t="str">
            <v>KADUSIRUNG</v>
          </cell>
        </row>
        <row r="16">
          <cell r="C16" t="str">
            <v>TGR523</v>
          </cell>
          <cell r="D16" t="str">
            <v>Jabodetabek</v>
          </cell>
          <cell r="E16" t="str">
            <v>TGR523</v>
          </cell>
          <cell r="F16" t="str">
            <v>KADUSIRUNG</v>
          </cell>
          <cell r="G16" t="str">
            <v>B2S</v>
          </cell>
          <cell r="H16">
            <v>106.61069999999999</v>
          </cell>
          <cell r="I16">
            <v>-6.3145600000000002</v>
          </cell>
          <cell r="J16" t="str">
            <v>TGR523</v>
          </cell>
          <cell r="K16" t="str">
            <v>KADUSIRUNG</v>
          </cell>
        </row>
        <row r="17">
          <cell r="C17" t="str">
            <v>CBN552</v>
          </cell>
          <cell r="D17" t="str">
            <v>Jabodetabek</v>
          </cell>
          <cell r="E17" t="str">
            <v>CBN552</v>
          </cell>
          <cell r="G17" t="str">
            <v>B2S</v>
          </cell>
          <cell r="H17">
            <v>106.9234</v>
          </cell>
          <cell r="I17">
            <v>-6.6425999999999998</v>
          </cell>
          <cell r="J17" t="str">
            <v>CBN552</v>
          </cell>
        </row>
        <row r="18">
          <cell r="C18" t="str">
            <v>CBN552</v>
          </cell>
          <cell r="D18" t="str">
            <v>Jabodetabek</v>
          </cell>
          <cell r="E18" t="str">
            <v>CBN552</v>
          </cell>
          <cell r="G18" t="str">
            <v>B2S</v>
          </cell>
          <cell r="H18">
            <v>106.9234</v>
          </cell>
          <cell r="I18">
            <v>-6.6425999999999998</v>
          </cell>
          <cell r="J18" t="str">
            <v>CBN552</v>
          </cell>
        </row>
        <row r="19">
          <cell r="C19" t="str">
            <v>KRW224</v>
          </cell>
          <cell r="D19" t="str">
            <v>Jabodetabek</v>
          </cell>
          <cell r="E19" t="str">
            <v>KRW224</v>
          </cell>
          <cell r="F19" t="str">
            <v>JLRAYACIKUNGKUNG</v>
          </cell>
          <cell r="G19" t="str">
            <v>B2S</v>
          </cell>
          <cell r="H19">
            <v>107.28279999999999</v>
          </cell>
          <cell r="I19">
            <v>-6.1276999999999999</v>
          </cell>
          <cell r="J19" t="str">
            <v>KRW224</v>
          </cell>
          <cell r="K19" t="str">
            <v>JLRAYACIKUNGKUNG</v>
          </cell>
        </row>
        <row r="20">
          <cell r="C20" t="str">
            <v>KRW224</v>
          </cell>
          <cell r="D20" t="str">
            <v>Jabodetabek</v>
          </cell>
          <cell r="E20" t="str">
            <v>KRW224</v>
          </cell>
          <cell r="F20" t="str">
            <v>JLRAYACIKUNGKUNG</v>
          </cell>
          <cell r="G20" t="str">
            <v>B2S</v>
          </cell>
          <cell r="H20">
            <v>107.28279999999999</v>
          </cell>
          <cell r="I20">
            <v>-6.1276999999999999</v>
          </cell>
          <cell r="J20" t="str">
            <v>KRW224</v>
          </cell>
          <cell r="K20" t="str">
            <v>JLRAYACIKUNGKUNG</v>
          </cell>
        </row>
        <row r="21">
          <cell r="C21" t="str">
            <v>KRW224</v>
          </cell>
          <cell r="D21" t="str">
            <v>Jabodetabek</v>
          </cell>
          <cell r="E21" t="str">
            <v>KRW224</v>
          </cell>
          <cell r="F21" t="str">
            <v>JLRAYACIKUNGKUNG</v>
          </cell>
          <cell r="G21" t="str">
            <v>B2S</v>
          </cell>
          <cell r="H21">
            <v>107.28279999999999</v>
          </cell>
          <cell r="I21">
            <v>-6.1276999999999999</v>
          </cell>
          <cell r="J21" t="str">
            <v>KRW224</v>
          </cell>
          <cell r="K21" t="str">
            <v>JLRAYACIKUNGKUNG</v>
          </cell>
        </row>
        <row r="22">
          <cell r="C22" t="str">
            <v>KRW238</v>
          </cell>
          <cell r="D22" t="str">
            <v>Jabodetabek</v>
          </cell>
          <cell r="E22" t="str">
            <v>KRW238</v>
          </cell>
          <cell r="F22" t="str">
            <v>PERUMAHANRESINDA</v>
          </cell>
          <cell r="G22" t="str">
            <v>B2S</v>
          </cell>
          <cell r="H22">
            <v>107.2748</v>
          </cell>
          <cell r="I22">
            <v>-6.2930900000000003</v>
          </cell>
          <cell r="J22" t="str">
            <v>KRW238</v>
          </cell>
          <cell r="K22" t="str">
            <v>PERUMAHANRESINDA</v>
          </cell>
        </row>
        <row r="23">
          <cell r="C23" t="str">
            <v>KRW238</v>
          </cell>
          <cell r="D23" t="str">
            <v>Jabodetabek</v>
          </cell>
          <cell r="E23" t="str">
            <v>KRW238</v>
          </cell>
          <cell r="F23" t="str">
            <v>PERUMAHANRESINDA</v>
          </cell>
          <cell r="G23" t="str">
            <v>B2S</v>
          </cell>
          <cell r="H23">
            <v>107.2748</v>
          </cell>
          <cell r="I23">
            <v>-6.2930900000000003</v>
          </cell>
          <cell r="J23" t="str">
            <v>KRW238</v>
          </cell>
          <cell r="K23" t="str">
            <v>PERUMAHANRESINDA</v>
          </cell>
        </row>
        <row r="24">
          <cell r="C24" t="str">
            <v>KRW198</v>
          </cell>
          <cell r="D24" t="str">
            <v>Jabodetabek</v>
          </cell>
          <cell r="E24" t="str">
            <v>KRW198</v>
          </cell>
          <cell r="F24" t="str">
            <v>BELENDUNGKLARI</v>
          </cell>
          <cell r="G24" t="str">
            <v>B2S</v>
          </cell>
          <cell r="H24">
            <v>107.38849999999999</v>
          </cell>
          <cell r="I24">
            <v>-6.3528500000000001</v>
          </cell>
          <cell r="J24" t="str">
            <v>KRW198</v>
          </cell>
          <cell r="K24" t="str">
            <v>BELENDUNGKLARI</v>
          </cell>
        </row>
        <row r="25">
          <cell r="C25" t="str">
            <v>KRW198</v>
          </cell>
          <cell r="D25" t="str">
            <v>Jabodetabek</v>
          </cell>
          <cell r="E25" t="str">
            <v>KRW198</v>
          </cell>
          <cell r="F25" t="str">
            <v>BELENDUNGKLARI</v>
          </cell>
          <cell r="G25" t="str">
            <v>B2S</v>
          </cell>
          <cell r="H25">
            <v>107.38849999999999</v>
          </cell>
          <cell r="I25">
            <v>-6.3528500000000001</v>
          </cell>
          <cell r="J25" t="str">
            <v>KRW198</v>
          </cell>
          <cell r="K25" t="str">
            <v>BELENDUNGKLARI</v>
          </cell>
        </row>
        <row r="26">
          <cell r="C26" t="str">
            <v>KRW198</v>
          </cell>
          <cell r="D26" t="str">
            <v>Jabodetabek</v>
          </cell>
          <cell r="E26" t="str">
            <v>KRW198</v>
          </cell>
          <cell r="F26" t="str">
            <v>BELENDUNGKLARI</v>
          </cell>
          <cell r="G26" t="str">
            <v>B2S</v>
          </cell>
          <cell r="H26">
            <v>107.38849999999999</v>
          </cell>
          <cell r="I26">
            <v>-6.3528500000000001</v>
          </cell>
          <cell r="J26" t="str">
            <v>KRW198</v>
          </cell>
          <cell r="K26" t="str">
            <v>BELENDUNGKLARI</v>
          </cell>
        </row>
        <row r="27">
          <cell r="C27" t="str">
            <v>SKB144</v>
          </cell>
          <cell r="D27" t="str">
            <v>Jabodetabek</v>
          </cell>
          <cell r="E27" t="str">
            <v>SKB144</v>
          </cell>
          <cell r="F27" t="str">
            <v>PANENMAS</v>
          </cell>
          <cell r="G27" t="str">
            <v>B2S</v>
          </cell>
          <cell r="H27">
            <v>106.812</v>
          </cell>
          <cell r="I27">
            <v>-6.7757100000000001</v>
          </cell>
          <cell r="J27" t="str">
            <v>SKB144</v>
          </cell>
          <cell r="K27" t="str">
            <v>PANENMAS</v>
          </cell>
        </row>
        <row r="28">
          <cell r="C28" t="str">
            <v>SKB144</v>
          </cell>
          <cell r="D28" t="str">
            <v>Jabodetabek</v>
          </cell>
          <cell r="E28" t="str">
            <v>SKB144</v>
          </cell>
          <cell r="F28" t="str">
            <v>PANENMAS</v>
          </cell>
          <cell r="G28" t="str">
            <v>B2S</v>
          </cell>
          <cell r="H28">
            <v>106.812</v>
          </cell>
          <cell r="I28">
            <v>-6.7757100000000001</v>
          </cell>
          <cell r="J28" t="str">
            <v>SKB144</v>
          </cell>
          <cell r="K28" t="str">
            <v>PANENMAS</v>
          </cell>
        </row>
        <row r="29">
          <cell r="C29" t="str">
            <v>SKB144</v>
          </cell>
          <cell r="D29" t="str">
            <v>Jabodetabek</v>
          </cell>
          <cell r="E29" t="str">
            <v>SKB144</v>
          </cell>
          <cell r="F29" t="str">
            <v>PANENMAS</v>
          </cell>
          <cell r="G29" t="str">
            <v>B2S</v>
          </cell>
          <cell r="H29">
            <v>106.812</v>
          </cell>
          <cell r="I29">
            <v>-6.7757100000000001</v>
          </cell>
          <cell r="J29" t="str">
            <v>SKB144</v>
          </cell>
          <cell r="K29" t="str">
            <v>PANENMAS</v>
          </cell>
        </row>
        <row r="30">
          <cell r="C30" t="str">
            <v>TGR529</v>
          </cell>
          <cell r="D30" t="str">
            <v>Jabodetabek</v>
          </cell>
          <cell r="E30" t="str">
            <v>TGR529</v>
          </cell>
          <cell r="F30" t="str">
            <v>GEMPOLSARISEPATANTIMURBANTEN</v>
          </cell>
          <cell r="G30" t="str">
            <v>B2S</v>
          </cell>
          <cell r="H30">
            <v>106.62</v>
          </cell>
          <cell r="I30">
            <v>-6.11</v>
          </cell>
          <cell r="J30" t="str">
            <v>TGR529</v>
          </cell>
          <cell r="K30" t="str">
            <v>GEMPOLSARISEPATANTIMURBANTEN</v>
          </cell>
        </row>
        <row r="31">
          <cell r="C31" t="str">
            <v>TGR529</v>
          </cell>
          <cell r="D31" t="str">
            <v>Jabodetabek</v>
          </cell>
          <cell r="E31" t="str">
            <v>TGR529</v>
          </cell>
          <cell r="F31" t="str">
            <v>GEMPOLSARISEPATANTIMURBANTEN</v>
          </cell>
          <cell r="G31" t="str">
            <v>B2S</v>
          </cell>
          <cell r="H31">
            <v>106.62</v>
          </cell>
          <cell r="I31">
            <v>-6.11</v>
          </cell>
          <cell r="J31" t="str">
            <v>TGR529</v>
          </cell>
          <cell r="K31" t="str">
            <v>GEMPOLSARISEPATANTIMURBANTEN</v>
          </cell>
        </row>
      </sheetData>
      <sheetData sheetId="2" refreshError="1"/>
      <sheetData sheetId="3" refreshError="1"/>
    </sheetDataSet>
  </externalBook>
</externalLink>
</file>

<file path=xl/pivotCache/_rels/pivotCacheDefinition1.xml.rels><?xml version="1.0" encoding="UTF-8" standalone="yes"?>
<Relationships xmlns="http://schemas.openxmlformats.org/package/2006/relationships"><Relationship Id="rId2" Type="http://schemas.openxmlformats.org/officeDocument/2006/relationships/externalLinkPath" Target="file:///D:\SITAC\Copy%20of%20DATA%20CAPEX%20JABO%202020.xlsx" TargetMode="External"/><Relationship Id="rId1" Type="http://schemas.openxmlformats.org/officeDocument/2006/relationships/pivotCacheRecords" Target="pivotCacheRecords1.xml"/></Relationships>
</file>

<file path=xl/pivotCache/_rels/pivotCacheDefinition2.xml.rels><?xml version="1.0" encoding="UTF-8" standalone="yes"?>
<Relationships xmlns="http://schemas.openxmlformats.org/package/2006/relationships"><Relationship Id="rId1" Type="http://schemas.openxmlformats.org/officeDocument/2006/relationships/pivotCacheRecords" Target="pivotCacheRecords2.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LUCKI DWI PRISTANTO" refreshedDate="44208.607520833335" createdVersion="6" refreshedVersion="6" minRefreshableVersion="3" recordCount="134" xr:uid="{00000000-000A-0000-FFFF-FFFF00000000}">
  <cacheSource type="worksheet">
    <worksheetSource ref="A1:CX135" sheet="Project Information" r:id="rId2"/>
  </cacheSource>
  <cacheFields count="102">
    <cacheField name="sonumb" numFmtId="0">
      <sharedItems/>
    </cacheField>
    <cacheField name="sonumb2" numFmtId="0">
      <sharedItems containsSemiMixedTypes="0" containsString="0" containsNumber="1" containsInteger="1" minValue="4054932041" maxValue="230587640231"/>
    </cacheField>
    <cacheField name="site_id" numFmtId="0">
      <sharedItems count="134">
        <s v="1261951001"/>
        <s v="1318161001"/>
        <s v="1318171001"/>
        <s v="1261961001"/>
        <s v="1261971001"/>
        <s v="1261981001"/>
        <s v="1261991001"/>
        <s v="1262001001"/>
        <s v="1318181001"/>
        <s v="1128311001"/>
        <s v="1128321001"/>
        <s v="1128331001"/>
        <s v="1128341001"/>
        <s v="1128351001"/>
        <s v="1129191001"/>
        <s v="1129201001"/>
        <s v="1318411001"/>
        <s v="1262801001"/>
        <s v="1129221001"/>
        <s v="1127601003"/>
        <s v="1127611003"/>
        <s v="1127621003"/>
        <s v="1127641003"/>
        <s v="1127651003"/>
        <s v="1317351003"/>
        <s v="1317361003"/>
        <s v="1127661003"/>
        <s v="1127671003"/>
        <s v="1127701003"/>
        <s v="1127711003"/>
        <s v="1317371003"/>
        <s v="1127721003"/>
        <s v="1127741003"/>
        <s v="1127751003"/>
        <s v="1127761003"/>
        <s v="1317381003"/>
        <s v="1317391003"/>
        <s v="1317411003"/>
        <s v="1317431003"/>
        <s v="1127771003"/>
        <s v="1260891003"/>
        <s v="1260901003"/>
        <s v="1260921003"/>
        <s v="1317451003"/>
        <s v="1317461003"/>
        <s v="1317471003"/>
        <s v="1260931003"/>
        <s v="1317481003"/>
        <s v="1317491003"/>
        <s v="1317501003"/>
        <s v="1317511003"/>
        <s v="1317521003"/>
        <s v="1127791003"/>
        <s v="1317531003"/>
        <s v="1260941003"/>
        <s v="1317541003"/>
        <s v="1317551003"/>
        <s v="1127801003"/>
        <s v="1127811003"/>
        <s v="1127831003"/>
        <s v="1317561003"/>
        <s v="1317571003"/>
        <s v="1317581003"/>
        <s v="1127841003"/>
        <s v="1127861003"/>
        <s v="1260951003"/>
        <s v="1127881003"/>
        <s v="1260961003"/>
        <s v="1317601003"/>
        <s v="1317611003"/>
        <s v="1317631003"/>
        <s v="1317651003"/>
        <s v="1317661003"/>
        <s v="1317671003"/>
        <s v="1317681003"/>
        <s v="1317701003"/>
        <s v="1317711003"/>
        <s v="1317721003"/>
        <s v="1317731003"/>
        <s v="1317741003"/>
        <s v="1317761003"/>
        <s v="1317771003"/>
        <s v="1127901003"/>
        <s v="1317831003"/>
        <s v="1260971003"/>
        <s v="1127911003"/>
        <s v="1317851003"/>
        <s v="1127931003"/>
        <s v="1127941003"/>
        <s v="1127961003"/>
        <s v="1127971003"/>
        <s v="1318231003"/>
        <s v="1128751003"/>
        <s v="1262121003"/>
        <s v="1262131003"/>
        <s v="1262141003"/>
        <s v="1262161003"/>
        <s v="1262171003"/>
        <s v="1262181003"/>
        <s v="1262191003"/>
        <s v="1317261023"/>
        <s v="1260581023"/>
        <s v="1127531023"/>
        <s v="1261081023"/>
        <s v="1317861023"/>
        <s v="1317871023"/>
        <s v="1317891023"/>
        <s v="1317911023"/>
        <s v="1261181023"/>
        <s v="1261211023"/>
        <s v="1317921023"/>
        <s v="1317931023"/>
        <s v="1128011023"/>
        <s v="1317961023"/>
        <s v="1317971023"/>
        <s v="1261561023"/>
        <s v="1261571023"/>
        <s v="1261611023"/>
        <s v="1128271023"/>
        <s v="125957104"/>
        <s v="125959104"/>
        <s v="125920123"/>
        <s v="125921123"/>
        <s v="125922123"/>
        <s v="125923123"/>
        <s v="125927123"/>
        <s v="125931123"/>
        <s v="125943123"/>
        <s v="125962123"/>
        <s v="125964123"/>
        <s v="125966123"/>
        <s v="125968123"/>
        <s v="112685123"/>
        <s v="112686123"/>
      </sharedItems>
    </cacheField>
    <cacheField name="site_id_opr" numFmtId="0">
      <sharedItems/>
    </cacheField>
    <cacheField name="SiteName" numFmtId="0">
      <sharedItems/>
    </cacheField>
    <cacheField name="sitename_opr" numFmtId="0">
      <sharedItems/>
    </cacheField>
    <cacheField name="Site_Type" numFmtId="0">
      <sharedItems count="2">
        <s v="NEW BUILD"/>
        <s v="NEW MCP NON FO"/>
      </sharedItems>
    </cacheField>
    <cacheField name="TenantAdditionalInfo" numFmtId="0">
      <sharedItems/>
    </cacheField>
    <cacheField name="STIPCategory" numFmtId="0">
      <sharedItems/>
    </cacheField>
    <cacheField name="operator_id" numFmtId="0">
      <sharedItems/>
    </cacheField>
    <cacheField name="company_id" numFmtId="0">
      <sharedItems/>
    </cacheField>
    <cacheField name="No_FPKI_STIP" numFmtId="0">
      <sharedItems/>
    </cacheField>
    <cacheField name="Tgl_FPKI_STIP" numFmtId="168">
      <sharedItems containsSemiMixedTypes="0" containsNonDate="0" containsDate="1" containsString="0" minDate="2019-09-02T00:00:00" maxDate="2020-10-01T00:00:00"/>
    </cacheField>
    <cacheField name="Latitude" numFmtId="0">
      <sharedItems/>
    </cacheField>
    <cacheField name="Longitude" numFmtId="0">
      <sharedItems/>
    </cacheField>
    <cacheField name="Address" numFmtId="0">
      <sharedItems/>
    </cacheField>
    <cacheField name="regional_name" numFmtId="0">
      <sharedItems/>
    </cacheField>
    <cacheField name="kabupaten_name" numFmtId="0">
      <sharedItems count="16">
        <s v="KOTA SUKABUMI"/>
        <s v="KOTA TANGERANG"/>
        <s v="TANGERANG"/>
        <s v="BOGOR"/>
        <s v="KARAWANG"/>
        <s v="SUKABUMI"/>
        <s v="JAKARTA BARAT"/>
        <s v="JAKARTA UTARA"/>
        <s v="JAKARTA SELATAN"/>
        <s v="SERANG"/>
        <s v="JAKARTA TIMUR"/>
        <s v="TANGERANG SELATAN"/>
        <s v="KOTA DEPOK"/>
        <s v="KOTA BEKASI"/>
        <s v="KOTA BOGOR"/>
        <s v="BEKASI"/>
      </sharedItems>
    </cacheField>
    <cacheField name="province_name" numFmtId="0">
      <sharedItems/>
    </cacheField>
    <cacheField name="Height" numFmtId="0">
      <sharedItems/>
    </cacheField>
    <cacheField name="Tahapan_Project" numFmtId="0">
      <sharedItems/>
    </cacheField>
    <cacheField name="Status" numFmtId="0">
      <sharedItems/>
    </cacheField>
    <cacheField name="Status_Dtl" numFmtId="0">
      <sharedItems/>
    </cacheField>
    <cacheField name="SubmitDate" numFmtId="0">
      <sharedItems containsNonDate="0" containsString="0" containsBlank="1"/>
    </cacheField>
    <cacheField name="Cancel_Date" numFmtId="0">
      <sharedItems containsNonDate="0" containsString="0" containsBlank="1"/>
    </cacheField>
    <cacheField name="LeadPMSitac" numFmtId="0">
      <sharedItems/>
    </cacheField>
    <cacheField name="PMSitac" numFmtId="0">
      <sharedItems/>
    </cacheField>
    <cacheField name="SitacSPV" numFmtId="0">
      <sharedItems containsBlank="1"/>
    </cacheField>
    <cacheField name="lead_pm" numFmtId="0">
      <sharedItems/>
    </cacheField>
    <cacheField name="Project_Manager" numFmtId="0">
      <sharedItems/>
    </cacheField>
    <cacheField name="WaspangName" numFmtId="0">
      <sharedItems/>
    </cacheField>
    <cacheField name="Account_Manager" numFmtId="0">
      <sharedItems/>
    </cacheField>
    <cacheField name="Supplier_Sitac" numFmtId="0">
      <sharedItems count="15">
        <s v="PT. Banjarpasir Nusa Pratama"/>
        <s v="PT. KARYA LINTAS SEJAHTERA"/>
        <s v="PT. ORLIE INDONESIA"/>
        <s v="PT. ARENAS ADI PERKASA"/>
        <s v="PT. DWI SAMUDERA RAYA"/>
        <s v="PT. RAKA MITRA BERSAMA"/>
        <s v="PT. TURANGGA EMPAT TIGA"/>
        <s v="PT. ROTUA ABADI JAYA"/>
        <s v="PT. DATATEL INDONESIA"/>
        <s v="PT. MANDIRA INFRA TRIPAKARTI"/>
        <s v="PT. AULIA DANARDANA"/>
        <s v="PT. MULTI KREASI INVESTAMA"/>
        <s v="PT. Lintas Banyu Lestari"/>
        <s v="PT. PANEN KARYA BERSAMA"/>
        <s v="PT ORLIE INDONESIA" u="1"/>
      </sharedItems>
    </cacheField>
    <cacheField name="Supplier_CME" numFmtId="0">
      <sharedItems containsBlank="1"/>
    </cacheField>
    <cacheField name="ssr_date" numFmtId="0">
      <sharedItems containsNonDate="0" containsDate="1" containsString="0" containsBlank="1" minDate="2019-10-18T13:33:48" maxDate="2020-12-30T10:42:46"/>
    </cacheField>
    <cacheField name="rfc_date" numFmtId="0">
      <sharedItems containsNonDate="0" containsDate="1" containsString="0" containsBlank="1" minDate="2019-10-31T12:40:26" maxDate="2020-12-30T15:13:12"/>
    </cacheField>
    <cacheField name="RFI_date" numFmtId="168">
      <sharedItems containsSemiMixedTypes="0" containsNonDate="0" containsDate="1" containsString="0" minDate="2020-01-03T00:00:00" maxDate="2021-01-01T00:00:00"/>
    </cacheField>
    <cacheField name="rfi_opr_date" numFmtId="0">
      <sharedItems containsNonDate="0" containsString="0" containsBlank="1"/>
    </cacheField>
    <cacheField name="BAPS_DATE" numFmtId="0">
      <sharedItems containsNonDate="0" containsDate="1" containsString="0" containsBlank="1" minDate="2020-05-18T00:00:00" maxDate="2021-07-09T00:00:00"/>
    </cacheField>
    <cacheField name="bak_date" numFmtId="0">
      <sharedItems containsNonDate="0" containsDate="1" containsString="0" containsBlank="1" minDate="2019-11-19T18:14:15" maxDate="2020-12-30T12:16:34"/>
    </cacheField>
    <cacheField name="iw_date" numFmtId="0">
      <sharedItems containsNonDate="0" containsDate="1" containsString="0" containsBlank="1" minDate="2019-10-31T11:49:05" maxDate="2020-12-30T12:19:34"/>
    </cacheField>
    <cacheField name="recom_date" numFmtId="0">
      <sharedItems containsNonDate="0" containsDate="1" containsString="0" containsBlank="1" minDate="2019-11-25T10:07:25" maxDate="2020-12-30T15:00:00"/>
    </cacheField>
    <cacheField name="IMB Date" numFmtId="0">
      <sharedItems containsNonDate="0" containsString="0" containsBlank="1"/>
    </cacheField>
    <cacheField name="soilhammer_date" numFmtId="0">
      <sharedItems containsNonDate="0" containsDate="1" containsString="0" containsBlank="1" minDate="2019-10-31T11:55:51" maxDate="2020-12-30T12:26:24"/>
    </cacheField>
    <cacheField name="pln_date" numFmtId="0">
      <sharedItems containsNonDate="0" containsDate="1" containsString="0" containsBlank="1" minDate="2020-01-03T00:00:00" maxDate="2021-01-05T00:00:00"/>
    </cacheField>
    <cacheField name="uf_date" numFmtId="0">
      <sharedItems containsNonDate="0" containsString="0" containsBlank="1"/>
    </cacheField>
    <cacheField name="ageing" numFmtId="0">
      <sharedItems/>
    </cacheField>
    <cacheField name="rfi_projection" numFmtId="168">
      <sharedItems containsSemiMixedTypes="0" containsNonDate="0" containsDate="1" containsString="0" minDate="2020-01-10T00:00:00" maxDate="2021-01-28T00:00:00"/>
    </cacheField>
    <cacheField name="rfc_projection" numFmtId="0">
      <sharedItems containsNonDate="0" containsDate="1" containsString="0" containsBlank="1" minDate="2019-11-15T00:00:00" maxDate="2021-03-26T00:00:00"/>
    </cacheField>
    <cacheField name="bauk_projection" numFmtId="168">
      <sharedItems containsSemiMixedTypes="0" containsNonDate="0" containsDate="1" containsString="0" minDate="2020-02-20T00:00:00" maxDate="2021-03-23T00:00:00"/>
    </cacheField>
    <cacheField name="bauk_done" numFmtId="0">
      <sharedItems containsNonDate="0" containsDate="1" containsString="0" containsBlank="1" minDate="2020-02-28T00:00:00" maxDate="2020-12-30T00:00:00"/>
    </cacheField>
    <cacheField name="bauk_date" numFmtId="0">
      <sharedItems containsNonDate="0" containsDate="1" containsString="0" containsBlank="1" minDate="2020-02-28T18:10:56" maxDate="2021-01-06T15:44:48"/>
    </cacheField>
    <cacheField name="BAPS_NO" numFmtId="0">
      <sharedItems containsBlank="1"/>
    </cacheField>
    <cacheField name="batch_field" numFmtId="0">
      <sharedItems containsNonDate="0" containsString="0" containsBlank="1"/>
    </cacheField>
    <cacheField name="PODateVendorSitac" numFmtId="0">
      <sharedItems containsNonDate="0" containsDate="1" containsString="0" containsBlank="1" minDate="1899-12-31T00:00:00" maxDate="2020-11-14T11:21:00"/>
    </cacheField>
    <cacheField name="PONumberVendorCME" numFmtId="0">
      <sharedItems containsBlank="1"/>
    </cacheField>
    <cacheField name="PODateVendorCME" numFmtId="0">
      <sharedItems containsNonDate="0" containsDate="1" containsString="0" containsBlank="1" minDate="1899-12-31T00:00:00" maxDate="2020-12-17T13:38:00"/>
    </cacheField>
    <cacheField name="ProjectName" numFmtId="0">
      <sharedItems containsNonDate="0" containsString="0" containsBlank="1"/>
    </cacheField>
    <cacheField name="RentalHolidayPeriod" numFmtId="0">
      <sharedItems containsBlank="1"/>
    </cacheField>
    <cacheField name="pono_tower" numFmtId="0">
      <sharedItems containsBlank="1"/>
    </cacheField>
    <cacheField name="podate_tower" numFmtId="0">
      <sharedItems containsNonDate="0" containsDate="1" containsString="0" containsBlank="1" minDate="2020-06-22T00:00:00" maxDate="2020-11-11T00:00:00"/>
    </cacheField>
    <cacheField name="poinput_tower" numFmtId="0">
      <sharedItems containsNonDate="0" containsDate="1" containsString="0" containsBlank="1" minDate="2020-06-24T11:11:15" maxDate="2020-11-11T14:42:47"/>
    </cacheField>
    <cacheField name="sld_forecast" numFmtId="0">
      <sharedItems containsNonDate="0" containsDate="1" containsString="0" containsBlank="1" minDate="2020-03-28T00:00:00" maxDate="2021-03-16T18:48:30"/>
    </cacheField>
    <cacheField name="start_date_baps" numFmtId="0">
      <sharedItems containsNonDate="0" containsDate="1" containsString="0" containsBlank="1" minDate="2020-05-18T00:00:00" maxDate="2021-07-09T00:00:00"/>
    </cacheField>
    <cacheField name="end_date_baps" numFmtId="0">
      <sharedItems containsNonDate="0" containsDate="1" containsString="0" containsBlank="1" minDate="2021-09-16T00:00:00" maxDate="2031-01-17T00:00:00"/>
    </cacheField>
    <cacheField name="app_date" numFmtId="168">
      <sharedItems containsSemiMixedTypes="0" containsNonDate="0" containsDate="1" containsString="0" minDate="2019-09-02T00:00:00" maxDate="2020-12-31T00:00:00"/>
    </cacheField>
    <cacheField name="bouwplank_date" numFmtId="0">
      <sharedItems containsNonDate="0" containsDate="1" containsString="0" containsBlank="1" minDate="2019-12-06T00:00:00" maxDate="2020-12-12T00:00:00"/>
    </cacheField>
    <cacheField name="bouwplank_done" numFmtId="0">
      <sharedItems containsNonDate="0" containsDate="1" containsString="0" containsBlank="1" minDate="2019-12-27T17:49:26" maxDate="2020-12-31T16:30:00"/>
    </cacheField>
    <cacheField name="tower_foundation_date" numFmtId="0">
      <sharedItems containsNonDate="0" containsDate="1" containsString="0" containsBlank="1" minDate="2019-12-09T00:00:00" maxDate="2020-12-15T00:00:00"/>
    </cacheField>
    <cacheField name="tower_foundation_done" numFmtId="0">
      <sharedItems containsNonDate="0" containsDate="1" containsString="0" containsBlank="1" minDate="2019-12-27T17:50:45" maxDate="2020-12-31T16:30:24"/>
    </cacheField>
    <cacheField name="ATPDoneDate" numFmtId="0">
      <sharedItems containsNonDate="0" containsDate="1" containsString="0" containsBlank="1" minDate="2020-05-28T00:00:00" maxDate="2020-12-31T00:00:00"/>
    </cacheField>
    <cacheField name="BASTDate" numFmtId="0">
      <sharedItems containsNonDate="0" containsDate="1" containsString="0" containsBlank="1" minDate="1899-12-31T00:00:00" maxDate="2020-12-18T00:00:00"/>
    </cacheField>
    <cacheField name="TowerType" numFmtId="0">
      <sharedItems/>
    </cacheField>
    <cacheField name="TowerHeight" numFmtId="0">
      <sharedItems/>
    </cacheField>
    <cacheField name="FieldType" numFmtId="0">
      <sharedItems/>
    </cacheField>
    <cacheField name="User_Number" numFmtId="0">
      <sharedItems/>
    </cacheField>
    <cacheField name="RFL_Forecast" numFmtId="0">
      <sharedItems containsNonDate="0" containsDate="1" containsString="0" containsBlank="1" minDate="2019-11-14T00:00:00" maxDate="2021-03-26T00:00:00"/>
    </cacheField>
    <cacheField name="IMB_Forecast" numFmtId="0">
      <sharedItems containsNonDate="0" containsDate="1" containsString="0" containsBlank="1" minDate="2020-04-30T00:00:00" maxDate="2021-05-10T09:46:22"/>
    </cacheField>
    <cacheField name="SSTA_Forecast" numFmtId="0">
      <sharedItems containsNonDate="0" containsDate="1" containsString="0" containsBlank="1" minDate="2020-05-20T00:00:00" maxDate="2021-03-11T00:00:00"/>
    </cacheField>
    <cacheField name="PLNPermanen_Forecast" numFmtId="0">
      <sharedItems containsNonDate="0" containsDate="1" containsString="0" containsBlank="1" minDate="2020-03-13T00:00:00" maxDate="2021-01-01T00:00:00"/>
    </cacheField>
    <cacheField name="RFL STATUS" numFmtId="0">
      <sharedItems containsBlank="1"/>
    </cacheField>
    <cacheField name="RFLDate" numFmtId="0">
      <sharedItems containsNonDate="0" containsDate="1" containsString="0" containsBlank="1" minDate="2019-11-29T00:00:00" maxDate="2020-12-31T00:00:00"/>
    </cacheField>
    <cacheField name="SSTA NUMBER" numFmtId="0">
      <sharedItems containsBlank="1"/>
    </cacheField>
    <cacheField name="SSTA REMARKS" numFmtId="0">
      <sharedItems containsBlank="1"/>
    </cacheField>
    <cacheField name="SSTA DATE" numFmtId="0">
      <sharedItems containsNonDate="0" containsDate="1" containsString="0" containsBlank="1" minDate="2020-05-12T14:49:31" maxDate="2021-01-08T11:20:52"/>
    </cacheField>
    <cacheField name="RECTIFICATION DATE" numFmtId="0">
      <sharedItems containsNonDate="0" containsString="0" containsBlank="1"/>
    </cacheField>
    <cacheField name="Tower Temporary ID" numFmtId="0">
      <sharedItems containsBlank="1"/>
    </cacheField>
    <cacheField name="RFI Date Tower Temporary" numFmtId="0">
      <sharedItems containsNonDate="0" containsDate="1" containsString="0" containsBlank="1" minDate="2020-01-28T10:48:35" maxDate="2020-08-31T10:20:04"/>
    </cacheField>
    <cacheField name="IDPLN" numFmtId="0">
      <sharedItems containsBlank="1"/>
    </cacheField>
    <cacheField name="Pln_On_Date" numFmtId="168">
      <sharedItems containsSemiMixedTypes="0" containsNonDate="0" containsDate="1" containsString="0" minDate="1899-12-31T00:00:00" maxDate="2021-01-05T00:00:00"/>
    </cacheField>
    <cacheField name="Power Source" numFmtId="0">
      <sharedItems containsBlank="1"/>
    </cacheField>
    <cacheField name="BatchName" numFmtId="0">
      <sharedItems/>
    </cacheField>
    <cacheField name="ShelterType" numFmtId="0">
      <sharedItems/>
    </cacheField>
    <cacheField name="rfi_certificat_date" numFmtId="168">
      <sharedItems containsSemiMixedTypes="0" containsNonDate="0" containsDate="1" containsString="0" minDate="2020-01-03T22:53:24" maxDate="2021-01-01T00:00:00"/>
    </cacheField>
    <cacheField name="CLUSTER" numFmtId="0">
      <sharedItems containsBlank="1"/>
    </cacheField>
    <cacheField name="RTCDesc" numFmtId="0">
      <sharedItems containsBlank="1"/>
    </cacheField>
    <cacheField name="Category" numFmtId="0">
      <sharedItems/>
    </cacheField>
    <cacheField name="NO. PO" numFmtId="0">
      <sharedItems containsBlank="1"/>
    </cacheField>
    <cacheField name="PO Order" numFmtId="170">
      <sharedItems containsString="0" containsBlank="1" containsNumber="1" containsInteger="1" minValue="68000000" maxValue="130000000"/>
    </cacheField>
    <cacheField name="BIAYA IW" numFmtId="170">
      <sharedItems containsString="0" containsBlank="1" containsNumber="1" containsInteger="1" minValue="2000000" maxValue="50000000"/>
    </cacheField>
    <cacheField name="Additional Operational Cost Site" numFmtId="170">
      <sharedItems containsString="0" containsBlank="1" containsNumber="1" containsInteger="1" minValue="48000000" maxValue="95000000"/>
    </cacheField>
    <cacheField name="BAN" numFmtId="170">
      <sharedItems containsString="0" containsBlank="1" containsNumber="1" minValue="15000000" maxValue="54378000" count="17">
        <n v="23000000"/>
        <n v="25000000"/>
        <n v="20000000"/>
        <n v="40000000"/>
        <n v="19000000"/>
        <n v="17000000"/>
        <n v="18000000"/>
        <m/>
        <n v="35280000"/>
        <n v="17500000"/>
        <n v="24000000"/>
        <n v="18181818.181818184"/>
        <n v="54378000"/>
        <n v="22500000"/>
        <n v="15000000"/>
        <n v="18500000"/>
        <n v="16000000"/>
      </sharedItems>
    </cacheField>
  </cacheFields>
  <extLst>
    <ext xmlns:x14="http://schemas.microsoft.com/office/spreadsheetml/2009/9/main" uri="{725AE2AE-9491-48be-B2B4-4EB974FC3084}">
      <x14:pivotCacheDefinition/>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Fandi Kurniawan Saputra" refreshedDate="44544.654780555553" createdVersion="5" refreshedVersion="5" minRefreshableVersion="3" recordCount="227" xr:uid="{00000000-000A-0000-FFFF-FFFF01000000}">
  <cacheSource type="worksheet">
    <worksheetSource name="Table13"/>
  </cacheSource>
  <cacheFields count="44">
    <cacheField name="SONum" numFmtId="0">
      <sharedItems containsBlank="1" containsMixedTypes="1" containsNumber="1" containsInteger="1" minValue="10626540011" maxValue="10626540011"/>
    </cacheField>
    <cacheField name="Site ID" numFmtId="0">
      <sharedItems containsBlank="1" containsMixedTypes="1" containsNumber="1" containsInteger="1" minValue="1129561003" maxValue="1318231003"/>
    </cacheField>
    <cacheField name="Site ID Operator" numFmtId="0">
      <sharedItems/>
    </cacheField>
    <cacheField name="Site Name TBG" numFmtId="0">
      <sharedItems/>
    </cacheField>
    <cacheField name="Site Name Operator" numFmtId="0">
      <sharedItems containsBlank="1"/>
    </cacheField>
    <cacheField name="Site Type" numFmtId="0">
      <sharedItems containsBlank="1"/>
    </cacheField>
    <cacheField name="STIP Category" numFmtId="0">
      <sharedItems/>
    </cacheField>
    <cacheField name="Operator ID" numFmtId="0">
      <sharedItems/>
    </cacheField>
    <cacheField name="Company ID" numFmtId="0">
      <sharedItems containsBlank="1" count="3">
        <s v="TB"/>
        <s v="PKP"/>
        <m/>
      </sharedItems>
    </cacheField>
    <cacheField name="SOW Year" numFmtId="0">
      <sharedItems containsDate="1" containsBlank="1" containsMixedTypes="1" minDate="2019-09-02T00:00:00" maxDate="1900-01-06T06:40:04"/>
    </cacheField>
    <cacheField name="STIP Number" numFmtId="0">
      <sharedItems containsBlank="1"/>
    </cacheField>
    <cacheField name="STIP Date" numFmtId="168">
      <sharedItems containsNonDate="0" containsDate="1" containsString="0" containsBlank="1" minDate="2019-09-02T00:00:00" maxDate="2021-10-30T00:00:00"/>
    </cacheField>
    <cacheField name="Latitude NOM" numFmtId="0">
      <sharedItems containsBlank="1" containsMixedTypes="1" containsNumber="1" minValue="-6.9987149999999998" maxValue="-6.0355879999999997"/>
    </cacheField>
    <cacheField name="Longitude NOM" numFmtId="0">
      <sharedItems containsBlank="1" containsMixedTypes="1" containsNumber="1" minValue="106.34509" maxValue="107.21253"/>
    </cacheField>
    <cacheField name="Address" numFmtId="0">
      <sharedItems containsBlank="1"/>
    </cacheField>
    <cacheField name="Regional" numFmtId="0">
      <sharedItems containsBlank="1"/>
    </cacheField>
    <cacheField name="Residence" numFmtId="0">
      <sharedItems containsBlank="1" count="24">
        <s v="KOTA DEPOK"/>
        <s v="TANGERANG"/>
        <s v="JAKARTA BARAT"/>
        <s v="JAKARTA TIMUR"/>
        <s v="JAKARTA SELATAN"/>
        <s v="BOGOR"/>
        <s v="TANGERANG SELATAN"/>
        <s v="KOTA BEKASI"/>
        <s v="KOTA TANGERANG"/>
        <s v="JAKARTA PUSAT"/>
        <s v="JAKARTA UTARA"/>
        <s v="BEKASI"/>
        <s v="KOTA BOGOR"/>
        <s v="KARAWANG"/>
        <s v="SERANG"/>
        <s v="SUKABUMI"/>
        <s v="KOTA SERANG"/>
        <s v="LEBAK"/>
        <s v="KOTA JAKARTA BARAT"/>
        <s v="KOTA JAKARTA TIMUR"/>
        <m/>
        <s v="KOTA CILEGON"/>
        <s v="PANDEGLANG"/>
        <s v="PURWAKARTA"/>
      </sharedItems>
    </cacheField>
    <cacheField name="Province" numFmtId="0">
      <sharedItems containsBlank="1"/>
    </cacheField>
    <cacheField name="Tower Height" numFmtId="0">
      <sharedItems containsBlank="1" containsMixedTypes="1" containsNumber="1" minValue="16.5" maxValue="72"/>
    </cacheField>
    <cacheField name="Mitra" numFmtId="0">
      <sharedItems containsBlank="1"/>
    </cacheField>
    <cacheField name="SITAC Officer" numFmtId="0">
      <sharedItems containsBlank="1" count="9">
        <m/>
        <s v="Aditya R"/>
        <s v="SS Devi"/>
        <s v="Handri P"/>
        <s v="PKP"/>
        <s v="Rahadian"/>
        <s v="Rinaldi"/>
        <s v="JABAR"/>
        <s v="SS Jimmy" u="1"/>
      </sharedItems>
    </cacheField>
    <cacheField name="Cand" numFmtId="0">
      <sharedItems containsBlank="1"/>
    </cacheField>
    <cacheField name="Latitude Candidate" numFmtId="0">
      <sharedItems containsString="0" containsBlank="1" containsNumber="1" minValue="-7.4170100000000003" maxValue="106.88489"/>
    </cacheField>
    <cacheField name="Longitude Candidat" numFmtId="0">
      <sharedItems containsString="0" containsBlank="1" containsNumber="1" minValue="-6.5291100000000002" maxValue="107.54675"/>
    </cacheField>
    <cacheField name="Propose Tower Height" numFmtId="0">
      <sharedItems containsBlank="1" containsMixedTypes="1" containsNumber="1" minValue="16.5" maxValue="72"/>
    </cacheField>
    <cacheField name="RF Height" numFmtId="0">
      <sharedItems containsString="0" containsBlank="1" containsNumber="1" minValue="20" maxValue="60.5"/>
    </cacheField>
    <cacheField name="Approval RNP Date" numFmtId="0">
      <sharedItems containsNonDate="0" containsDate="1" containsString="0" containsBlank="1" minDate="2020-09-16T00:00:00" maxDate="2021-12-02T00:00:00"/>
    </cacheField>
    <cacheField name="MW Height/Diameter" numFmtId="0">
      <sharedItems containsBlank="1" containsMixedTypes="1" containsNumber="1" containsInteger="1" minValue="19" maxValue="20"/>
    </cacheField>
    <cacheField name="Approval TNP Date" numFmtId="0">
      <sharedItems containsNonDate="0" containsDate="1" containsString="0" containsBlank="1" minDate="2020-11-24T00:00:00" maxDate="2021-12-02T00:00:00"/>
    </cacheField>
    <cacheField name="Tower Type" numFmtId="0">
      <sharedItems containsBlank="1"/>
    </cacheField>
    <cacheField name="Field Type" numFmtId="0">
      <sharedItems containsBlank="1"/>
    </cacheField>
    <cacheField name="RFC Projection" numFmtId="168">
      <sharedItems containsDate="1" containsBlank="1" containsMixedTypes="1" minDate="2020-12-15T00:00:00" maxDate="2021-11-01T00:00:00"/>
    </cacheField>
    <cacheField name="RFC Month Projection" numFmtId="0">
      <sharedItems containsDate="1" containsBlank="1" containsMixedTypes="1" minDate="1899-12-30T00:00:00" maxDate="2021-11-01T00:00:00" count="34">
        <d v="2021-01-06T00:00:00"/>
        <s v="DONE"/>
        <e v="#N/A"/>
        <d v="2020-12-15T00:00:00"/>
        <d v="2021-01-10T00:00:00"/>
        <d v="2021-01-15T00:00:00"/>
        <d v="2021-06-18T00:00:00"/>
        <d v="2021-05-17T00:00:00"/>
        <d v="2021-07-15T00:00:00"/>
        <s v="Agustus"/>
        <d v="2021-05-14T00:00:00"/>
        <d v="2021-05-15T00:00:00"/>
        <d v="2021-06-09T00:00:00"/>
        <d v="2021-04-08T00:00:00"/>
        <d v="2021-04-15T00:00:00"/>
        <d v="2021-07-29T00:00:00"/>
        <s v="September"/>
        <d v="2021-10-29T00:00:00"/>
        <d v="2021-10-31T00:00:00"/>
        <m/>
        <d v="2021-10-07T00:00:00"/>
        <d v="2021-10-25T00:00:00"/>
        <d v="2021-10-18T00:00:00"/>
        <d v="2021-10-15T00:00:00"/>
        <d v="2021-10-05T00:00:00"/>
        <d v="2021-10-11T00:00:00"/>
        <d v="2021-10-20T00:00:00"/>
        <d v="2021-10-27T00:00:00"/>
        <d v="2021-10-13T00:00:00"/>
        <d v="2021-01-20T00:00:00"/>
        <d v="2021-10-12T00:00:00"/>
        <d v="1899-12-30T00:00:00" u="1"/>
        <d v="2021-04-04T00:00:00" u="1"/>
        <d v="2021-08-22T00:00:00" u="1"/>
      </sharedItems>
    </cacheField>
    <cacheField name="RFI Projection" numFmtId="0">
      <sharedItems containsDate="1" containsBlank="1" containsMixedTypes="1" minDate="1900-01-29T00:00:00" maxDate="2021-12-01T00:00:00"/>
    </cacheField>
    <cacheField name="RFC Date" numFmtId="168">
      <sharedItems containsNonDate="0" containsDate="1" containsString="0" containsBlank="1" minDate="2020-11-10T00:00:00" maxDate="2021-12-10T00:00:00" count="64">
        <m/>
        <d v="2020-11-20T00:00:00"/>
        <d v="2020-12-02T00:00:00"/>
        <d v="2021-01-15T00:00:00"/>
        <d v="2021-01-29T00:00:00"/>
        <d v="2021-03-16T00:00:00"/>
        <d v="2021-01-18T00:00:00"/>
        <d v="2020-11-10T00:00:00"/>
        <d v="2021-02-09T00:00:00"/>
        <d v="2021-01-24T00:00:00"/>
        <d v="2021-03-02T00:00:00"/>
        <d v="2021-03-18T00:00:00"/>
        <d v="2021-04-05T00:00:00"/>
        <d v="2021-06-21T00:00:00"/>
        <d v="2021-04-12T00:00:00"/>
        <d v="2021-05-31T00:00:00"/>
        <d v="2021-04-19T00:00:00"/>
        <d v="2021-07-12T00:00:00"/>
        <d v="2021-01-14T00:00:00"/>
        <d v="2021-03-26T00:00:00"/>
        <d v="2021-03-15T00:00:00"/>
        <d v="2021-01-08T00:00:00"/>
        <d v="2021-08-05T00:00:00"/>
        <d v="2021-05-05T00:00:00"/>
        <d v="2021-02-26T00:00:00"/>
        <d v="2021-03-09T00:00:00"/>
        <d v="2021-11-30T00:00:00"/>
        <d v="2021-04-15T00:00:00"/>
        <d v="2021-04-14T00:00:00"/>
        <d v="2021-03-12T00:00:00"/>
        <d v="2021-03-23T00:00:00"/>
        <d v="2021-03-30T00:00:00"/>
        <d v="2021-05-03T00:00:00"/>
        <d v="2021-06-22T00:00:00"/>
        <d v="2021-04-22T00:00:00"/>
        <d v="2021-04-16T00:00:00"/>
        <d v="2021-04-29T00:00:00"/>
        <d v="2021-11-25T00:00:00"/>
        <d v="2021-08-13T00:00:00"/>
        <d v="2021-08-30T00:00:00"/>
        <d v="2021-10-31T00:00:00"/>
        <d v="2021-10-29T00:00:00"/>
        <d v="2021-09-01T00:00:00"/>
        <d v="2021-08-24T00:00:00"/>
        <d v="2021-07-29T00:00:00"/>
        <d v="2021-10-19T00:00:00"/>
        <d v="2021-08-12T00:00:00"/>
        <d v="2021-10-11T00:00:00"/>
        <d v="2021-10-05T00:00:00"/>
        <d v="2021-09-30T00:00:00"/>
        <d v="2021-12-01T00:00:00"/>
        <d v="2021-10-14T00:00:00"/>
        <d v="2021-09-22T00:00:00"/>
        <d v="2021-10-10T00:00:00"/>
        <d v="2021-10-08T00:00:00"/>
        <d v="2021-09-24T00:00:00"/>
        <d v="2021-11-08T00:00:00"/>
        <d v="2021-09-13T00:00:00"/>
        <d v="2021-10-17T00:00:00"/>
        <d v="2021-11-18T00:00:00"/>
        <d v="2021-11-19T00:00:00"/>
        <d v="2021-12-06T00:00:00"/>
        <d v="2021-12-09T00:00:00"/>
        <d v="2021-11-03T00:00:00"/>
      </sharedItems>
    </cacheField>
    <cacheField name="Aging RFC" numFmtId="1">
      <sharedItems containsSemiMixedTypes="0" containsString="0" containsNumber="1" minValue="0" maxValue="44544"/>
    </cacheField>
    <cacheField name="RFC Remark" numFmtId="0">
      <sharedItems containsBlank="1"/>
    </cacheField>
    <cacheField name="SLA" numFmtId="0">
      <sharedItems containsBlank="1" count="6">
        <m/>
        <s v="DELAY"/>
        <s v="ONTIME"/>
        <s v="OUT SLA" u="1"/>
        <s v="IN SLA" u="1"/>
        <s v="PRE-SITAC" u="1"/>
      </sharedItems>
    </cacheField>
    <cacheField name="Aging SLA" numFmtId="0">
      <sharedItems containsBlank="1" containsMixedTypes="1" containsNumber="1" containsInteger="1" minValue="20" maxValue="218"/>
    </cacheField>
    <cacheField name="TAHAPAN PROJECT" numFmtId="0">
      <sharedItems count="7">
        <s v="PRE CANCEL"/>
        <s v="RFI"/>
        <s v="DROP"/>
        <s v="PRE-SITAC"/>
        <s v="SITAC"/>
        <s v="RFC"/>
        <s v="CME"/>
      </sharedItems>
    </cacheField>
    <cacheField name="PROGRESS STATUS" numFmtId="0">
      <sharedItems containsBlank="1"/>
    </cacheField>
    <cacheField name="DETAIL PROGRESS" numFmtId="0">
      <sharedItems containsBlank="1" longText="1"/>
    </cacheField>
    <cacheField name="Issue" numFmtId="0">
      <sharedItems containsBlank="1"/>
    </cacheField>
    <cacheField name="Action Plan" numFmtId="0">
      <sharedItems containsBlank="1"/>
    </cacheField>
  </cacheFields>
  <extLst>
    <ext xmlns:x14="http://schemas.microsoft.com/office/spreadsheetml/2009/9/main" uri="{725AE2AE-9491-48be-B2B4-4EB974FC3084}">
      <x14:pivotCacheDefinition/>
    </ext>
  </extLst>
</pivotCacheDefinition>
</file>

<file path=xl/pivotCache/pivotCacheRecords1.xml><?xml version="1.0" encoding="utf-8"?>
<pivotCacheRecords xmlns="http://schemas.openxmlformats.org/spreadsheetml/2006/main" xmlns:r="http://schemas.openxmlformats.org/officeDocument/2006/relationships" count="134">
  <r>
    <s v="0010587860011"/>
    <n v="10587860011"/>
    <x v="0"/>
    <s v="SKB904"/>
    <s v="DAYEUHLUHURWARUDOYONG"/>
    <s v="DAYEUHLUHURWARUDOYONG"/>
    <x v="0"/>
    <s v="-"/>
    <s v="STIP 1"/>
    <s v="TSEL"/>
    <s v="TB"/>
    <s v="021421/TBG-TB/TSEL/MKT/03/2020"/>
    <d v="2020-03-20T00:00:00"/>
    <s v="-6.94019"/>
    <s v="106.91999"/>
    <s v="Kp. Sukasari, RT.03/08, Kel. Dayeluhur, Kec. Warudoyong Kota Sukabumi"/>
    <s v="JABODETABEK (OUTER)"/>
    <x v="0"/>
    <s v="JAWA BARAT"/>
    <s v="42"/>
    <s v="BAPS"/>
    <s v="BAPS"/>
    <s v="RFI"/>
    <m/>
    <m/>
    <s v="LUCKI DWI PRISTANTO"/>
    <s v="FAZAR GANNY"/>
    <m/>
    <s v="LUCKI DWI PRISTANTO"/>
    <s v="FAZAR GANNY"/>
    <s v="PUSPITO HADIYANTO"/>
    <s v="DEWI NOVIANI SETIYAZI"/>
    <x v="0"/>
    <s v="PT. Banjarpasir Nusa Pratama"/>
    <d v="2020-04-17T17:03:40"/>
    <d v="2020-04-30T08:49:22"/>
    <d v="2020-05-28T00:00:00"/>
    <m/>
    <d v="2020-06-02T00:00:00"/>
    <d v="2020-04-21T17:27:37"/>
    <d v="2020-04-22T17:19:45"/>
    <d v="2020-04-27T14:43:18"/>
    <m/>
    <d v="2020-04-27T20:20:24"/>
    <d v="2020-05-27T00:00:00"/>
    <m/>
    <s v="297"/>
    <d v="2020-05-17T00:00:00"/>
    <d v="2020-04-20T00:00:00"/>
    <d v="2020-08-20T00:00:00"/>
    <d v="2020-08-25T00:00:00"/>
    <d v="2020-08-14T11:29:10"/>
    <s v="0100270171"/>
    <m/>
    <d v="2020-05-05T20:20:00"/>
    <s v="PO/TB/20/N007280"/>
    <d v="2020-05-15T17:45:00"/>
    <m/>
    <m/>
    <s v="4300000238"/>
    <d v="2020-06-22T00:00:00"/>
    <d v="2020-06-24T11:18:05"/>
    <d v="2020-07-27T19:31:16"/>
    <d v="2020-06-02T00:00:00"/>
    <d v="2030-06-01T00:00:00"/>
    <d v="2020-03-20T00:00:00"/>
    <d v="2020-04-27T00:00:00"/>
    <d v="2020-05-06T10:26:44"/>
    <d v="2020-05-07T00:00:00"/>
    <d v="2020-05-08T20:18:27"/>
    <d v="2020-06-24T00:00:00"/>
    <d v="2020-06-29T00:00:00"/>
    <s v="SST"/>
    <s v="42"/>
    <s v="GF"/>
    <s v="1"/>
    <d v="2020-04-30T00:00:00"/>
    <d v="2020-05-29T00:00:00"/>
    <d v="2020-10-10T00:00:00"/>
    <m/>
    <s v="RFL"/>
    <d v="2020-04-29T00:00:00"/>
    <s v="OPM-SSTA/VIII/2020/0007"/>
    <s v="Oke"/>
    <d v="2020-08-14T16:07:50"/>
    <m/>
    <m/>
    <m/>
    <s v="536112204266"/>
    <d v="2020-05-27T00:00:00"/>
    <s v="PLN REGULER"/>
    <s v="TSEL - BATCH#1 2020 "/>
    <s v="OUTDOOR"/>
    <d v="2020-05-28T19:31:16"/>
    <s v="Urban"/>
    <s v="RTC 1"/>
    <s v="Standard"/>
    <s v="PO/TB/20/N006610"/>
    <n v="86400000"/>
    <n v="13400000"/>
    <n v="73000000"/>
    <x v="0"/>
  </r>
  <r>
    <s v="0010587870011"/>
    <n v="10587870011"/>
    <x v="1"/>
    <s v="TNX314"/>
    <s v="PAJAJARANTANGERANG"/>
    <s v="PAJAJARANTANGERANG"/>
    <x v="0"/>
    <s v="-"/>
    <s v="STIP 1"/>
    <s v="TSEL"/>
    <s v="TB"/>
    <s v="021422/TBG-TB/TSEL/MKT/03/2020"/>
    <d v="2020-03-20T00:00:00"/>
    <s v="-6.203717"/>
    <s v="106.58507"/>
    <s v="Jl. Raya Pajajaran  No. 168 RT 001 RW 003 Kelurahan Gandasari Kecamatan Jatiuwung Kota Tangerang"/>
    <s v="JABODETABEK (INNER)"/>
    <x v="1"/>
    <s v="BANTEN"/>
    <s v="42"/>
    <s v="BAPS"/>
    <s v="BAPS"/>
    <s v="RFI"/>
    <m/>
    <m/>
    <s v="LUCKI DWI PRISTANTO"/>
    <s v="FANDI KURNIAWAN SAPUTRA"/>
    <m/>
    <s v="LUCKI DWI PRISTANTO"/>
    <s v="FAZAR GANNY"/>
    <s v="M ARIF HELMI"/>
    <s v="DEWI NOVIANI SETIYAZI"/>
    <x v="0"/>
    <s v="PT. Banjarpasir Nusa Pratama"/>
    <d v="2020-08-07T20:39:06"/>
    <d v="2020-08-21T13:32:08"/>
    <d v="2020-08-18T00:00:00"/>
    <m/>
    <d v="2020-09-09T00:00:00"/>
    <d v="2020-08-11T12:33:11"/>
    <d v="2020-08-11T17:05:13"/>
    <d v="2020-08-12T01:28:52"/>
    <m/>
    <d v="2020-08-12T08:32:40"/>
    <d v="2020-11-27T00:00:00"/>
    <m/>
    <s v="297"/>
    <d v="2020-08-28T00:00:00"/>
    <d v="2020-08-10T00:00:00"/>
    <d v="2020-10-30T00:00:00"/>
    <d v="2020-10-22T00:00:00"/>
    <d v="2020-10-21T14:52:17"/>
    <s v="0100266269"/>
    <m/>
    <d v="2020-08-27T11:41:00"/>
    <s v="PO/TB/20/N017950"/>
    <d v="2020-12-08T10:10:00"/>
    <m/>
    <m/>
    <s v="4300000238"/>
    <d v="2020-06-22T00:00:00"/>
    <d v="2020-06-24T11:19:17"/>
    <d v="2020-10-17T00:00:00"/>
    <d v="2020-09-09T00:00:00"/>
    <d v="2030-09-08T00:00:00"/>
    <d v="2020-03-20T00:00:00"/>
    <d v="2020-10-31T00:00:00"/>
    <d v="2020-11-03T06:05:45"/>
    <d v="2020-11-06T00:00:00"/>
    <d v="2020-11-09T17:45:25"/>
    <d v="2020-12-29T00:00:00"/>
    <d v="1899-12-31T00:00:00"/>
    <s v="CMBT"/>
    <s v="42"/>
    <s v="GF"/>
    <s v="1"/>
    <d v="2020-08-10T00:00:00"/>
    <d v="2020-10-30T00:00:00"/>
    <d v="2021-01-15T00:00:00"/>
    <m/>
    <s v="RFL"/>
    <d v="2020-08-24T00:00:00"/>
    <s v="OPM-SSTA/X/2020/0223"/>
    <s v="OK - SESUAI HASIL CEK AFO &amp; OME"/>
    <d v="2021-01-07T11:58:57"/>
    <m/>
    <s v="TE-D-0415-0906"/>
    <d v="2020-08-16T13:29:59"/>
    <s v="566201471301"/>
    <d v="2020-11-27T00:00:00"/>
    <s v="PLN REGULER"/>
    <s v="TSEL - BATCH#1 2020 "/>
    <s v="OUTDOOR"/>
    <d v="2020-08-18T00:00:00"/>
    <s v="Urban"/>
    <s v="RTC 1"/>
    <s v="Standard"/>
    <s v="PO/TB/20/N012294"/>
    <n v="99000000"/>
    <n v="6000000"/>
    <n v="93000000"/>
    <x v="1"/>
  </r>
  <r>
    <s v="0010587880011"/>
    <n v="10587880011"/>
    <x v="2"/>
    <s v="TGR523"/>
    <s v="KADUSIRUNG"/>
    <s v="KADUSIRUNG"/>
    <x v="0"/>
    <s v="-"/>
    <s v="STIP 1"/>
    <s v="TSEL"/>
    <s v="TB"/>
    <s v="021423/TBG-TB/TSEL/MKT/03/2020"/>
    <d v="2020-03-20T00:00:00"/>
    <s v="-6.31349"/>
    <s v="106.61092"/>
    <s v="Kp.Ciakar, RT.01/04, Desa Kadusirung, Kec. Pagedangan Kab. Tangerang - Banten"/>
    <s v="JABODETABEK (OUTER)"/>
    <x v="2"/>
    <s v="BANTEN"/>
    <s v="42"/>
    <s v="BAPS"/>
    <s v="BAPS"/>
    <s v="RFI"/>
    <m/>
    <m/>
    <s v="LUCKI DWI PRISTANTO"/>
    <s v="FANDI KURNIAWAN SAPUTRA"/>
    <m/>
    <s v="LUCKI DWI PRISTANTO"/>
    <s v="FAZAR GANNY"/>
    <s v="M ARIF HELMI"/>
    <s v="DEWI NOVIANI SETIYAZI"/>
    <x v="0"/>
    <s v="PT. Banjarpasir Nusa Pratama"/>
    <d v="2020-04-22T17:21:50"/>
    <d v="2020-05-10T20:34:41"/>
    <d v="2020-05-30T00:00:00"/>
    <m/>
    <d v="2020-06-14T00:00:00"/>
    <d v="2020-04-22T22:43:08"/>
    <d v="2020-04-23T22:04:03"/>
    <d v="2020-05-09T23:01:20"/>
    <m/>
    <d v="2020-05-10T11:54:57"/>
    <d v="2020-05-21T00:00:00"/>
    <m/>
    <s v="297"/>
    <d v="2020-06-05T00:00:00"/>
    <d v="2020-05-08T00:00:00"/>
    <d v="2020-08-20T00:00:00"/>
    <d v="2020-08-18T00:00:00"/>
    <d v="2020-08-10T12:29:21"/>
    <s v="0100270130"/>
    <m/>
    <d v="2020-05-13T12:06:00"/>
    <s v="PO/TB/20/N008084"/>
    <d v="2020-06-03T20:07:00"/>
    <m/>
    <m/>
    <s v="4300000236"/>
    <d v="2020-06-22T00:00:00"/>
    <d v="2020-06-24T11:12:43"/>
    <d v="2020-07-29T19:55:02"/>
    <d v="2020-06-14T00:00:00"/>
    <d v="2030-06-13T00:00:00"/>
    <d v="2020-03-20T00:00:00"/>
    <d v="2020-05-06T00:00:00"/>
    <d v="2020-05-11T22:14:21"/>
    <d v="2020-05-14T00:00:00"/>
    <d v="2020-05-22T08:49:23"/>
    <d v="2020-06-12T00:00:00"/>
    <d v="2020-07-20T00:00:00"/>
    <s v="SST"/>
    <s v="42"/>
    <s v="GF"/>
    <s v="1"/>
    <d v="2020-05-29T00:00:00"/>
    <d v="2020-12-31T00:00:00"/>
    <d v="2020-10-10T00:00:00"/>
    <m/>
    <s v="RFL"/>
    <d v="2020-05-11T00:00:00"/>
    <s v="OPM-SSTA/VIII/2020/0006"/>
    <s v="Oke"/>
    <d v="2020-08-14T16:07:24"/>
    <m/>
    <m/>
    <m/>
    <s v="566201407032"/>
    <d v="2020-05-21T00:00:00"/>
    <s v="PLN REGULER"/>
    <s v="TSEL - BATCH#1 2020 "/>
    <s v="OUTDOOR"/>
    <d v="2020-05-30T19:55:02"/>
    <s v="Sub Urban"/>
    <s v="RTC 1"/>
    <s v="Standard"/>
    <s v="PO/TB/20/N007091"/>
    <n v="89500000"/>
    <n v="13000000"/>
    <n v="76500000"/>
    <x v="2"/>
  </r>
  <r>
    <s v="0010587890011"/>
    <n v="10587890011"/>
    <x v="3"/>
    <s v="CBN552"/>
    <s v="PERMANENCOMBATPUSDIKRESKRIM"/>
    <s v="PERMANENCOMBATPUSDIKRESKRIM"/>
    <x v="0"/>
    <s v="-"/>
    <s v="STIP 1"/>
    <s v="TSEL"/>
    <s v="TB"/>
    <s v="021424/TBG-TB/TSEL/MKT/03/2020"/>
    <d v="2020-03-20T00:00:00"/>
    <s v="-6.64355"/>
    <s v="106.92589"/>
    <s v="Jl. Megamendung No.1 Cipayung Bogor, Kab. Bogor Prov. Jawa Barat"/>
    <s v="JABODETABEK (OUTER)"/>
    <x v="3"/>
    <s v="JAWA BARAT"/>
    <s v="52"/>
    <s v="BAPS"/>
    <s v="BAPS"/>
    <s v="RFI"/>
    <m/>
    <m/>
    <s v="LUCKI DWI PRISTANTO"/>
    <s v="FANDI KURNIAWAN SAPUTRA"/>
    <m/>
    <s v="LUCKI DWI PRISTANTO"/>
    <s v="FAZAR GANNY"/>
    <s v="PUSPITO HADIYANTO"/>
    <s v="DEWI NOVIANI SETIYAZI"/>
    <x v="1"/>
    <s v="PT. KARYA LINTAS SEJAHTERA"/>
    <d v="2020-07-30T15:58:50"/>
    <d v="2020-08-21T19:19:16"/>
    <d v="2020-08-31T00:00:00"/>
    <m/>
    <d v="2020-09-25T00:00:00"/>
    <d v="2020-08-03T14:30:59"/>
    <d v="2020-08-04T07:23:47"/>
    <d v="2020-08-13T13:09:21"/>
    <m/>
    <d v="2020-08-17T11:17:33"/>
    <d v="2020-11-06T00:00:00"/>
    <m/>
    <s v="297"/>
    <d v="2020-08-31T00:00:00"/>
    <d v="2020-08-10T00:00:00"/>
    <d v="2020-11-20T00:00:00"/>
    <d v="2020-11-16T00:00:00"/>
    <d v="2020-10-26T12:38:46"/>
    <s v="0100270844"/>
    <m/>
    <d v="2020-08-27T11:50:00"/>
    <s v="PO/TB/20/N012352"/>
    <d v="2020-08-28T18:13:00"/>
    <m/>
    <m/>
    <s v="4300000236"/>
    <d v="2020-06-22T00:00:00"/>
    <d v="2020-06-24T11:11:15"/>
    <d v="2020-10-30T18:01:59"/>
    <d v="2020-09-25T00:00:00"/>
    <d v="2030-09-24T00:00:00"/>
    <d v="2020-03-20T00:00:00"/>
    <d v="2020-08-04T00:00:00"/>
    <d v="2020-08-21T21:27:18"/>
    <d v="2020-08-11T00:00:00"/>
    <d v="2020-08-21T22:02:57"/>
    <m/>
    <m/>
    <s v="SST            "/>
    <s v="52                  "/>
    <s v="GF                  "/>
    <s v="1"/>
    <d v="2020-08-10T00:00:00"/>
    <d v="2020-12-31T00:00:00"/>
    <d v="2021-01-15T00:00:00"/>
    <m/>
    <s v="RFL"/>
    <d v="2020-09-16T00:00:00"/>
    <s v="OPM-SSTA/XII/2020/0011"/>
    <s v="-"/>
    <m/>
    <m/>
    <m/>
    <m/>
    <s v="538114212821"/>
    <d v="2020-11-06T00:00:00"/>
    <s v="PLN REGULER"/>
    <s v="TSEL - BATCH#1 2020 "/>
    <s v="OUTDOOR"/>
    <d v="2020-08-31T18:01:59"/>
    <s v="Rural"/>
    <s v="RTC 1"/>
    <s v="No IW"/>
    <s v="PO/TB/20/N012295"/>
    <n v="95000000"/>
    <m/>
    <n v="95000000"/>
    <x v="3"/>
  </r>
  <r>
    <s v="0010587900011"/>
    <n v="10587900011"/>
    <x v="4"/>
    <s v="KRW224"/>
    <s v="JLRAYACIKUNGKUNG"/>
    <s v="JLRAYACIKUNGKUNG"/>
    <x v="0"/>
    <s v="-"/>
    <s v="STIP 1"/>
    <s v="TSEL"/>
    <s v="TB"/>
    <s v="021426/TBG-TB/TSEL/MKT/03/2020"/>
    <d v="2020-03-20T00:00:00"/>
    <s v="-6.12804"/>
    <s v="107.28305"/>
    <s v="Kp.Pacing Utara RT007 RW003, Desa Dewisari, Kecamatan Rengasdengklok , Kab. Karawang"/>
    <s v="JABODETABEK (OUTER)"/>
    <x v="4"/>
    <s v="JAWA BARAT"/>
    <s v="42"/>
    <s v="BAPS"/>
    <s v="BAPS"/>
    <s v="RFI"/>
    <m/>
    <m/>
    <s v="LUCKI DWI PRISTANTO"/>
    <s v="FAZAR GANNY"/>
    <m/>
    <s v="LUCKI DWI PRISTANTO"/>
    <s v="FAZAR GANNY"/>
    <s v="PUSPITO HADIYANTO"/>
    <s v="DEWI NOVIANI SETIYAZI"/>
    <x v="2"/>
    <s v="PT ORLIE INDONESIA"/>
    <d v="2020-04-14T12:15:51"/>
    <d v="2020-04-23T21:16:35"/>
    <d v="2020-05-21T00:00:00"/>
    <m/>
    <d v="2020-05-31T00:00:00"/>
    <d v="2020-04-14T12:38:08"/>
    <d v="2020-04-15T14:01:55"/>
    <d v="2020-04-15T20:32:19"/>
    <m/>
    <d v="2020-04-17T17:10:50"/>
    <d v="2020-05-20T00:00:00"/>
    <m/>
    <s v="297"/>
    <d v="2020-05-22T00:00:00"/>
    <d v="2020-04-27T00:00:00"/>
    <d v="2020-08-20T00:00:00"/>
    <d v="2020-08-25T00:00:00"/>
    <d v="2020-08-14T11:36:43"/>
    <s v="0100270190"/>
    <m/>
    <d v="2020-05-19T21:02:00"/>
    <s v="PO/TB/20/N007160"/>
    <d v="2020-05-14T11:27:00"/>
    <m/>
    <m/>
    <s v="4300000237"/>
    <d v="2020-06-22T00:00:00"/>
    <d v="2020-06-24T15:12:58"/>
    <d v="2020-07-20T10:02:29"/>
    <d v="2020-05-31T00:00:00"/>
    <d v="2030-05-30T00:00:00"/>
    <d v="2020-03-20T00:00:00"/>
    <d v="2020-04-27T00:00:00"/>
    <d v="2020-05-06T13:48:42"/>
    <d v="2020-05-05T00:00:00"/>
    <d v="2020-05-19T08:27:31"/>
    <d v="2020-09-17T00:00:00"/>
    <d v="2020-12-01T00:00:00"/>
    <s v="SST"/>
    <s v="42"/>
    <s v="GF"/>
    <s v="1"/>
    <d v="2020-08-31T00:00:00"/>
    <d v="2020-08-31T00:00:00"/>
    <d v="2020-07-20T00:00:00"/>
    <m/>
    <s v="RFL"/>
    <d v="2020-04-28T00:00:00"/>
    <s v="OPM-SSTA/VII/2020/0153"/>
    <s v="Oke"/>
    <d v="2020-07-23T10:02:40"/>
    <m/>
    <m/>
    <m/>
    <s v="534826693072"/>
    <d v="2020-05-20T00:00:00"/>
    <s v="PLN REGULER"/>
    <s v="TSEL - BATCH#1 2020 "/>
    <s v="OUTDOOR"/>
    <d v="2020-05-21T10:02:29"/>
    <s v="Urban"/>
    <s v="RTC 1"/>
    <s v="Standard"/>
    <s v="PO/TB/20/N007482"/>
    <n v="98250000"/>
    <n v="39250000"/>
    <n v="59000000"/>
    <x v="4"/>
  </r>
  <r>
    <s v="0010587910011"/>
    <n v="10587910011"/>
    <x v="5"/>
    <s v="KRW238"/>
    <s v="PERUMAHANRESINDA"/>
    <s v="PERUMAHANRESINDA"/>
    <x v="0"/>
    <s v="-"/>
    <s v="STIP 1"/>
    <s v="TSEL"/>
    <s v="TB"/>
    <s v="021427/TBG-TB/TSEL/MKT/03/2020"/>
    <d v="2020-03-20T00:00:00"/>
    <s v="-6.29228"/>
    <s v="107.27731"/>
    <s v="Bobojong RT006 RW003, Desa Purwadana, Kecamatan Telukjambe Timur, Kab.Karawang"/>
    <s v="JABODETABEK (OUTER)"/>
    <x v="4"/>
    <s v="JAWA BARAT"/>
    <s v="42"/>
    <s v="BAPS"/>
    <s v="BAPS"/>
    <s v="RFI"/>
    <m/>
    <m/>
    <s v="LUCKI DWI PRISTANTO"/>
    <s v="FAZAR GANNY"/>
    <m/>
    <s v="LUCKI DWI PRISTANTO"/>
    <s v="FAZAR GANNY"/>
    <s v="PUSPITO HADIYANTO"/>
    <s v="DEWI NOVIANI SETIYAZI"/>
    <x v="2"/>
    <s v="PT ORLIE INDONESIA"/>
    <d v="2020-06-02T15:59:43"/>
    <d v="2020-06-19T11:39:40"/>
    <d v="2020-07-10T00:00:00"/>
    <m/>
    <d v="2020-07-11T00:00:00"/>
    <d v="2020-06-02T17:21:32"/>
    <d v="2020-06-12T17:59:39"/>
    <d v="2020-06-15T09:39:53"/>
    <m/>
    <d v="2020-06-17T21:14:44"/>
    <d v="2020-07-04T00:00:00"/>
    <m/>
    <s v="297"/>
    <d v="2020-10-31T00:00:00"/>
    <d v="2020-06-06T00:00:00"/>
    <d v="2020-09-21T00:00:00"/>
    <d v="2020-08-31T00:00:00"/>
    <d v="2020-08-27T13:58:40"/>
    <s v="0100270156"/>
    <m/>
    <d v="2020-06-24T14:34:00"/>
    <s v="PO/TB/20/N010732"/>
    <d v="2020-07-20T15:26:00"/>
    <m/>
    <m/>
    <s v="4300000237"/>
    <d v="2020-06-22T00:00:00"/>
    <d v="2020-06-24T15:28:11"/>
    <d v="2020-09-08T20:18:53"/>
    <d v="2020-07-11T00:00:00"/>
    <d v="2030-07-10T00:00:00"/>
    <d v="2020-03-20T00:00:00"/>
    <d v="2020-06-13T00:00:00"/>
    <d v="2020-06-19T21:41:49"/>
    <d v="2020-06-18T00:00:00"/>
    <d v="2020-06-22T15:02:15"/>
    <d v="2020-10-20T00:00:00"/>
    <d v="2020-11-26T00:00:00"/>
    <s v="SST            "/>
    <s v="42                  "/>
    <s v="GF                  "/>
    <s v="1"/>
    <d v="2020-06-30T00:00:00"/>
    <d v="2020-10-30T00:00:00"/>
    <d v="2020-10-31T00:00:00"/>
    <m/>
    <s v="RFL"/>
    <d v="2020-06-19T00:00:00"/>
    <s v="OPM-SSTA/IX/2020/0041"/>
    <s v="Oke"/>
    <d v="2020-10-09T09:34:59"/>
    <m/>
    <m/>
    <m/>
    <s v="534757741146"/>
    <d v="2020-07-04T00:00:00"/>
    <s v="PLN REGULER"/>
    <s v="TSEL - BATCH#1 2020 "/>
    <s v="OUTDOOR"/>
    <d v="2020-07-10T20:18:53"/>
    <s v="Urban"/>
    <s v="RTC 1"/>
    <s v="Standard"/>
    <s v="PO/TB/20/N009246"/>
    <n v="94000000"/>
    <n v="18500000"/>
    <n v="75500000"/>
    <x v="5"/>
  </r>
  <r>
    <s v="0010587920011"/>
    <n v="10587920011"/>
    <x v="6"/>
    <s v="KRW198"/>
    <s v="BELENDUNGKLARI"/>
    <s v="BELENDUNGKLARI"/>
    <x v="0"/>
    <s v="-"/>
    <s v="STIP 1"/>
    <s v="TSEL"/>
    <s v="TB"/>
    <s v="021428/TBG-TB/TSEL/MKT/03/2020"/>
    <d v="2020-03-20T00:00:00"/>
    <s v="-6.35181"/>
    <s v="107.38805"/>
    <s v="Kp. Pundong  RT004 RW003, Desa Belendung, Kec. Klari, Kab. Karawang Prov Jawa Barat"/>
    <s v="JABODETABEK (OUTER)"/>
    <x v="4"/>
    <s v="JAWA BARAT"/>
    <s v="42"/>
    <s v="BAPS"/>
    <s v="BAPS"/>
    <s v="RFI"/>
    <m/>
    <m/>
    <s v="LUCKI DWI PRISTANTO"/>
    <s v="FAZAR GANNY"/>
    <m/>
    <s v="LUCKI DWI PRISTANTO"/>
    <s v="FAZAR GANNY"/>
    <s v="PUSPITO HADIYANTO"/>
    <s v="DEWI NOVIANI SETIYAZI"/>
    <x v="2"/>
    <s v="PT ORLIE INDONESIA"/>
    <d v="2020-04-04T14:56:41"/>
    <d v="2020-04-16T09:56:03"/>
    <d v="2020-05-17T00:00:00"/>
    <m/>
    <d v="2020-05-31T00:00:00"/>
    <d v="2020-04-07T13:07:06"/>
    <d v="2020-04-09T19:23:42"/>
    <d v="2020-04-12T09:40:53"/>
    <m/>
    <d v="2020-04-12T16:54:31"/>
    <d v="2020-05-16T00:00:00"/>
    <m/>
    <s v="297"/>
    <d v="2020-05-22T00:00:00"/>
    <d v="2020-04-20T00:00:00"/>
    <d v="2020-08-20T00:00:00"/>
    <d v="2020-08-25T00:00:00"/>
    <d v="2020-08-14T11:47:53"/>
    <s v="0100270148"/>
    <m/>
    <d v="2020-05-19T12:07:00"/>
    <s v="PO/TB/20/N007336"/>
    <d v="2020-05-17T22:09:00"/>
    <m/>
    <m/>
    <s v="4300000237"/>
    <d v="2020-06-22T00:00:00"/>
    <d v="2020-06-24T15:29:31"/>
    <d v="2020-07-16T10:47:28"/>
    <d v="2020-05-31T00:00:00"/>
    <d v="2030-05-30T00:00:00"/>
    <d v="2020-03-20T00:00:00"/>
    <d v="2020-04-14T00:00:00"/>
    <d v="2020-05-06T13:48:56"/>
    <d v="2020-04-19T00:00:00"/>
    <d v="2020-05-10T20:31:02"/>
    <d v="2020-12-02T00:00:00"/>
    <d v="2020-05-08T00:00:00"/>
    <s v="SST"/>
    <s v="42"/>
    <s v="GF"/>
    <s v="1"/>
    <d v="2020-08-31T00:00:00"/>
    <d v="2020-08-31T00:00:00"/>
    <d v="2020-09-29T00:00:00"/>
    <m/>
    <s v="RFL"/>
    <d v="2020-04-20T00:00:00"/>
    <s v="OPM-SSTA/IX/2020/0049"/>
    <s v="Oke"/>
    <d v="2020-09-30T11:00:20"/>
    <m/>
    <m/>
    <m/>
    <s v="534685893715"/>
    <d v="2020-05-16T00:00:00"/>
    <s v="PLN REGULER"/>
    <s v="TSEL - BATCH#1 2020 "/>
    <s v="OUTDOOR"/>
    <d v="2020-05-17T10:47:28"/>
    <s v="Urban"/>
    <s v="RTC 1"/>
    <s v="Standard"/>
    <s v="PO/TB/20/N007456"/>
    <n v="94000000"/>
    <n v="20000000"/>
    <n v="74000000"/>
    <x v="2"/>
  </r>
  <r>
    <s v="0010587930011"/>
    <n v="10587930011"/>
    <x v="7"/>
    <s v="PLR001"/>
    <s v="PANENMAS"/>
    <s v="PANENMAS"/>
    <x v="0"/>
    <s v="-"/>
    <s v="STIP 1"/>
    <s v="TSEL"/>
    <s v="TB"/>
    <s v="021429/TBG-TB/TSEL/MKT/03/2020"/>
    <d v="2020-03-20T00:00:00"/>
    <s v="-6.77521"/>
    <s v="106.81387"/>
    <s v="Kp. Manggis Girang, RT.02/10, Desa Benda, Kec. Cicurug Kab. Sukabumi"/>
    <s v="JABODETABEK (OUTER)"/>
    <x v="5"/>
    <s v="JAWA BARAT"/>
    <s v="42"/>
    <s v="BAPS"/>
    <s v="BAPS"/>
    <s v="RFI"/>
    <m/>
    <m/>
    <s v="LUCKI DWI PRISTANTO"/>
    <s v="FAZAR GANNY"/>
    <m/>
    <s v="LUCKI DWI PRISTANTO"/>
    <s v="FAZAR GANNY"/>
    <s v="PUSPITO HADIYANTO"/>
    <s v="DEWI NOVIANI SETIYAZI"/>
    <x v="0"/>
    <s v="PT. Banjarpasir Nusa Pratama"/>
    <d v="2020-04-18T20:20:44"/>
    <d v="2020-04-30T19:37:36"/>
    <d v="2020-06-15T00:00:00"/>
    <m/>
    <d v="2020-06-21T00:00:00"/>
    <d v="2020-04-26T21:40:45"/>
    <d v="2020-04-28T13:58:02"/>
    <d v="2020-04-29T11:07:52"/>
    <m/>
    <d v="2020-04-29T14:15:12"/>
    <d v="2020-06-09T00:00:00"/>
    <m/>
    <s v="297"/>
    <d v="2020-06-20T00:00:00"/>
    <d v="2020-04-27T00:00:00"/>
    <d v="2020-08-31T00:00:00"/>
    <d v="2020-08-31T00:00:00"/>
    <d v="2020-08-27T13:45:54"/>
    <s v="0100270207"/>
    <m/>
    <d v="2020-05-05T20:27:00"/>
    <s v="PO/TB/20/N007473"/>
    <d v="2020-05-19T16:10:00"/>
    <m/>
    <m/>
    <s v="4300000237"/>
    <d v="2020-06-22T00:00:00"/>
    <d v="2020-06-24T15:31:57"/>
    <d v="2020-08-14T15:16:33"/>
    <d v="2020-06-21T00:00:00"/>
    <d v="2030-06-20T00:00:00"/>
    <d v="2020-03-20T00:00:00"/>
    <d v="2020-05-18T00:00:00"/>
    <d v="2020-05-20T21:53:40"/>
    <d v="2020-05-30T00:00:00"/>
    <d v="2020-06-04T00:03:53"/>
    <d v="2020-07-28T00:00:00"/>
    <d v="2020-07-24T00:00:00"/>
    <s v="SST            "/>
    <s v="42                  "/>
    <s v="GF                  "/>
    <s v="1"/>
    <d v="2020-05-29T00:00:00"/>
    <d v="2020-05-29T00:00:00"/>
    <d v="2020-07-20T00:00:00"/>
    <m/>
    <s v="RFL"/>
    <d v="2020-04-30T00:00:00"/>
    <s v="OPM-SSTA/VII/2020/0062"/>
    <s v="Oke"/>
    <d v="2020-07-15T12:19:24"/>
    <m/>
    <m/>
    <m/>
    <s v="536590532091"/>
    <d v="2020-06-09T00:00:00"/>
    <s v="PLN REGULER"/>
    <s v="TSEL - BATCH#1 2020 "/>
    <s v="OUTDOOR"/>
    <d v="2020-06-15T15:16:33"/>
    <s v="Sub Urban"/>
    <s v="RTC 1"/>
    <s v="Standard"/>
    <s v="PO/TB/20/N006611"/>
    <n v="95000000"/>
    <n v="18000000"/>
    <n v="77000000"/>
    <x v="2"/>
  </r>
  <r>
    <s v="0010587940011"/>
    <n v="10587940011"/>
    <x v="8"/>
    <s v="TGR525"/>
    <s v="GEMPOLSARISEPATANTIMURBANTEN"/>
    <s v="GEMPOLSARISEPATANTIMURBANTEN"/>
    <x v="0"/>
    <s v="-"/>
    <s v="STIP 1"/>
    <s v="TSEL"/>
    <s v="TB"/>
    <s v="021430/TBG-TB/TSEL/MKT/03/2020"/>
    <d v="2020-03-20T00:00:00"/>
    <s v="-6.10877"/>
    <s v="106.61952"/>
    <s v="Kp. Gaga Kecil Rt 05 Rw 07 Desa Gempol Sari Kecamatan Sepatan Timur Kabupaten Tangerang - Banten."/>
    <s v="JABODETABEK (OUTER)"/>
    <x v="2"/>
    <s v="BANTEN"/>
    <s v="42"/>
    <s v="BAPS"/>
    <s v="BAPS"/>
    <s v="RFI"/>
    <m/>
    <m/>
    <s v="LUCKI DWI PRISTANTO"/>
    <s v="FANDI KURNIAWAN SAPUTRA"/>
    <m/>
    <s v="LUCKI DWI PRISTANTO"/>
    <s v="FAZAR GANNY"/>
    <s v="M ARIF HELMI"/>
    <s v="DEWI NOVIANI SETIYAZI"/>
    <x v="0"/>
    <s v="PT. Banjarpasir Nusa Pratama"/>
    <d v="2020-04-22T16:21:26"/>
    <d v="2020-05-10T20:35:06"/>
    <d v="2020-06-06T00:00:00"/>
    <m/>
    <d v="2020-06-14T00:00:00"/>
    <d v="2020-04-22T17:07:08"/>
    <d v="2020-04-22T21:52:40"/>
    <d v="2020-05-10T05:17:23"/>
    <m/>
    <d v="2020-05-10T16:15:16"/>
    <d v="2020-05-21T00:00:00"/>
    <m/>
    <s v="297"/>
    <d v="2020-06-10T00:00:00"/>
    <d v="2020-05-08T00:00:00"/>
    <d v="2020-08-20T00:00:00"/>
    <d v="2020-08-18T00:00:00"/>
    <d v="2020-08-10T12:37:00"/>
    <s v="0100270213"/>
    <m/>
    <d v="2020-05-13T12:09:00"/>
    <s v="PO/TB/20/N006827"/>
    <d v="2020-05-09T21:11:00"/>
    <m/>
    <m/>
    <s v="4300000237"/>
    <d v="2020-06-22T00:00:00"/>
    <d v="2020-06-24T15:33:52"/>
    <d v="2020-08-05T20:34:33"/>
    <d v="2020-06-14T00:00:00"/>
    <d v="2030-06-13T00:00:00"/>
    <d v="2020-03-20T00:00:00"/>
    <d v="2020-05-09T00:00:00"/>
    <d v="2020-05-11T22:14:33"/>
    <d v="2020-05-15T00:00:00"/>
    <d v="2020-05-22T08:49:35"/>
    <d v="2020-07-02T00:00:00"/>
    <d v="2020-07-14T00:00:00"/>
    <s v="SST"/>
    <s v="42"/>
    <s v="GF"/>
    <s v="1"/>
    <d v="2020-05-29T00:00:00"/>
    <d v="2020-12-31T00:00:00"/>
    <m/>
    <m/>
    <s v="RFL"/>
    <d v="2020-05-11T00:00:00"/>
    <s v="OPM-SSTA/VI/2020/0085"/>
    <s v="Oke"/>
    <d v="2020-06-28T10:28:53"/>
    <m/>
    <m/>
    <m/>
    <s v="566601551641"/>
    <d v="2020-05-21T00:00:00"/>
    <s v="PLN REGULER"/>
    <s v="TSEL - BATCH#1 2020 "/>
    <s v="OUTDOOR"/>
    <d v="2020-06-06T20:34:33"/>
    <s v="Sub Urban"/>
    <s v="RTC 1"/>
    <s v="Standard"/>
    <s v="PO/TB/20/N007092"/>
    <n v="84000000"/>
    <n v="8000000"/>
    <n v="76000000"/>
    <x v="6"/>
  </r>
  <r>
    <s v="0010587960011"/>
    <n v="10587960011"/>
    <x v="9"/>
    <s v="JBX440"/>
    <s v="PERMANENCMBTALMUBAROKJOGLO"/>
    <s v="PERMANENCMBTALMUBAROKJOGLO"/>
    <x v="1"/>
    <s v="-"/>
    <s v="STIP 1"/>
    <s v="TSEL"/>
    <s v="TB"/>
    <s v="021469/TBG-TB/TSEL/MKT/03/2020"/>
    <d v="2020-03-20T00:00:00"/>
    <s v="-6.21911"/>
    <s v="106.72876"/>
    <s v="Joglo Raya RT.01, RW .02 Kel . Joglo , Kec. Kembangan  Kota . Jakarta Barat ."/>
    <s v="JABODETABEK (INNER)"/>
    <x v="6"/>
    <s v="DKI JAKARTA"/>
    <s v="20"/>
    <s v="RFI"/>
    <s v="CME"/>
    <s v="RFI"/>
    <m/>
    <m/>
    <s v="LUCKI DWI PRISTANTO"/>
    <s v="FAZAR GANNY"/>
    <m/>
    <s v="LUCKI DWI PRISTANTO"/>
    <s v="FAZAR GANNY"/>
    <s v="PUSPITO HADIYANTO"/>
    <s v="DEWI NOVIANI SETIYAZI"/>
    <x v="1"/>
    <m/>
    <d v="2020-03-29T23:30:52"/>
    <d v="2020-03-29T23:43:13"/>
    <d v="2020-05-10T00:00:00"/>
    <m/>
    <m/>
    <m/>
    <d v="2020-03-29T23:34:34"/>
    <m/>
    <m/>
    <d v="2020-03-29T23:35:23"/>
    <d v="2020-05-10T00:00:00"/>
    <m/>
    <s v="297"/>
    <d v="2020-05-08T00:00:00"/>
    <m/>
    <d v="2021-02-22T00:00:00"/>
    <m/>
    <m/>
    <m/>
    <m/>
    <d v="1899-12-31T00:00:00"/>
    <m/>
    <d v="1899-12-31T00:00:00"/>
    <m/>
    <m/>
    <m/>
    <m/>
    <m/>
    <d v="2020-07-09T15:54:45"/>
    <m/>
    <m/>
    <d v="2020-03-20T00:00:00"/>
    <d v="2020-04-01T00:00:00"/>
    <d v="2020-04-11T22:05:47"/>
    <d v="2020-04-03T00:00:00"/>
    <d v="2020-04-11T22:06:12"/>
    <m/>
    <m/>
    <s v="MP"/>
    <s v="20"/>
    <s v="GF"/>
    <s v="1"/>
    <d v="2020-05-29T00:00:00"/>
    <m/>
    <d v="2020-07-20T00:00:00"/>
    <m/>
    <s v="RFL"/>
    <d v="2020-05-15T00:00:00"/>
    <s v="OPM-SSTA/VII/2020/0190"/>
    <s v="okey"/>
    <d v="2020-07-28T15:25:24"/>
    <m/>
    <m/>
    <m/>
    <s v="543301710105"/>
    <d v="2020-05-10T00:00:00"/>
    <s v="PLN REGULER"/>
    <s v="TSEL - BATCH#1 2020 "/>
    <s v="OUTDOOR"/>
    <d v="2020-05-10T15:54:45"/>
    <s v="Sub Urban"/>
    <m/>
    <s v="Lumpsum &amp; Fasum"/>
    <m/>
    <m/>
    <m/>
    <m/>
    <x v="7"/>
  </r>
  <r>
    <s v="0010587970011"/>
    <n v="10587970011"/>
    <x v="10"/>
    <s v="JUX569"/>
    <s v="PERMANENCOMBATTERMPENUMPANG"/>
    <s v="PERMANENCOMBATTERMPENUMPANG"/>
    <x v="1"/>
    <s v="-"/>
    <s v="STIP 1"/>
    <s v="TSEL"/>
    <s v="TB"/>
    <s v="021470/TBG-TB/TSEL/MKT/03/2020"/>
    <d v="2020-03-20T00:00:00"/>
    <s v="-6.10320"/>
    <s v="106.88062"/>
    <s v="Jl. Padamarang Terminal Penumpang, Jakarta"/>
    <s v="JABODETABEK (INNER)"/>
    <x v="7"/>
    <s v="DKI JAKARTA"/>
    <s v="25"/>
    <s v="RFI"/>
    <s v="CME"/>
    <s v="RFI"/>
    <m/>
    <m/>
    <s v="LUCKI DWI PRISTANTO"/>
    <s v="FAZAR GANNY"/>
    <m/>
    <s v="LUCKI DWI PRISTANTO"/>
    <s v="FAZAR GANNY"/>
    <s v="PUSPITO HADIYANTO"/>
    <s v="DEWI NOVIANI SETIYAZI"/>
    <x v="1"/>
    <m/>
    <d v="2020-09-14T18:28:31"/>
    <d v="2020-09-14T19:32:31"/>
    <d v="2020-09-27T00:00:00"/>
    <m/>
    <m/>
    <m/>
    <d v="2020-09-14T18:38:34"/>
    <m/>
    <m/>
    <d v="2020-09-14T18:40:07"/>
    <m/>
    <m/>
    <s v="297"/>
    <d v="2020-09-20T00:00:00"/>
    <d v="2020-09-30T00:00:00"/>
    <d v="2021-02-22T00:00:00"/>
    <m/>
    <m/>
    <m/>
    <m/>
    <d v="1899-12-31T00:00:00"/>
    <m/>
    <d v="1899-12-31T00:00:00"/>
    <m/>
    <m/>
    <m/>
    <m/>
    <m/>
    <d v="2020-11-26T15:40:40"/>
    <m/>
    <m/>
    <d v="2020-03-20T00:00:00"/>
    <d v="2020-09-07T00:00:00"/>
    <d v="2020-09-26T08:34:33"/>
    <d v="2020-09-10T00:00:00"/>
    <d v="2020-09-26T08:34:53"/>
    <m/>
    <m/>
    <s v="POLE           "/>
    <s v="25                  "/>
    <s v="GF                  "/>
    <s v="1"/>
    <d v="2020-09-30T00:00:00"/>
    <d v="2020-09-17T15:00:29"/>
    <d v="2021-02-20T00:00:00"/>
    <m/>
    <s v="RFL"/>
    <d v="2020-09-18T00:00:00"/>
    <s v="OPM-SSTA/XII/2020/0185"/>
    <s v="okey"/>
    <d v="2020-12-22T11:20:15"/>
    <m/>
    <m/>
    <m/>
    <m/>
    <d v="1899-12-31T00:00:00"/>
    <m/>
    <s v="TSEL - BATCH#1 2020 "/>
    <s v="OUTDOOR"/>
    <d v="2020-09-27T15:40:40"/>
    <s v="Sub Urban"/>
    <m/>
    <s v="Lumpsum &amp; Not Fasum"/>
    <m/>
    <m/>
    <m/>
    <m/>
    <x v="8"/>
  </r>
  <r>
    <s v="0010587980011"/>
    <n v="10587980011"/>
    <x v="11"/>
    <s v="JUX570"/>
    <s v="PERMANENCOMBATRUSUNMARUNDA"/>
    <s v="PERMANENCOMBATRUSUNMARUNDA"/>
    <x v="1"/>
    <s v="-"/>
    <s v="STIP 1"/>
    <s v="TSEL"/>
    <s v="TB"/>
    <s v="021471/TBG-TB/TSEL/MKT/03/2020"/>
    <d v="2020-03-20T00:00:00"/>
    <s v="-6.0955"/>
    <s v="106.9645"/>
    <s v="Jl. Rusun Marunda Culster B, Kel. Marunda Kec. Cilincing, Kota Jakarta Utara, Prop. DKI JAKARTA"/>
    <s v="JABODETABEK (INNER)"/>
    <x v="7"/>
    <s v="DKI JAKARTA"/>
    <s v="20"/>
    <s v="RFI"/>
    <s v="CME"/>
    <s v="RFI"/>
    <m/>
    <m/>
    <s v="LUCKI DWI PRISTANTO"/>
    <s v="FAZAR GANNY"/>
    <m/>
    <s v="LUCKI DWI PRISTANTO"/>
    <s v="FAZAR GANNY"/>
    <s v="PUSPITO HADIYANTO"/>
    <s v="DEWI NOVIANI SETIYAZI"/>
    <x v="1"/>
    <m/>
    <m/>
    <m/>
    <d v="2020-09-09T00:00:00"/>
    <m/>
    <m/>
    <m/>
    <m/>
    <m/>
    <m/>
    <m/>
    <m/>
    <m/>
    <s v="297"/>
    <d v="2021-01-27T00:00:00"/>
    <d v="2021-02-28T00:00:00"/>
    <d v="2021-02-10T00:00:00"/>
    <m/>
    <m/>
    <m/>
    <m/>
    <d v="1899-12-31T00:00:00"/>
    <m/>
    <d v="1899-12-31T00:00:00"/>
    <m/>
    <m/>
    <m/>
    <m/>
    <m/>
    <d v="2020-11-08T00:00:00"/>
    <m/>
    <m/>
    <d v="2020-03-20T00:00:00"/>
    <m/>
    <m/>
    <m/>
    <m/>
    <m/>
    <m/>
    <s v="CMBT"/>
    <s v="20"/>
    <s v="GF"/>
    <s v="1"/>
    <d v="2021-02-28T00:00:00"/>
    <m/>
    <d v="2021-02-20T00:00:00"/>
    <m/>
    <m/>
    <m/>
    <s v="OPM-SSTA/XII/2020/0186"/>
    <s v="okey"/>
    <d v="2020-12-22T11:21:36"/>
    <m/>
    <s v="TE-D-1010-0483"/>
    <d v="2020-08-31T10:20:04"/>
    <m/>
    <d v="1899-12-31T00:00:00"/>
    <m/>
    <s v="TSEL - BATCH#1 2020 "/>
    <s v="OUTDOOR"/>
    <d v="2020-09-09T00:00:00"/>
    <m/>
    <m/>
    <s v="Lumpsum &amp; Not Fasum"/>
    <m/>
    <m/>
    <m/>
    <m/>
    <x v="7"/>
  </r>
  <r>
    <s v="0010587990011"/>
    <n v="10587990011"/>
    <x v="12"/>
    <s v="JUX583"/>
    <s v="PERMANENCOMBATKEPANDUANPELINDO"/>
    <s v="PERMANENCOMBATKEPANDUANPELINDO"/>
    <x v="1"/>
    <s v="-"/>
    <s v="STIP 1"/>
    <s v="TSEL"/>
    <s v="TB"/>
    <s v="021472/TBG-TB/TSEL/MKT/03/2020"/>
    <d v="2020-03-20T00:00:00"/>
    <s v="-6.09691"/>
    <s v="106.88637"/>
    <s v="Jl. Padamarang Terminal Penumpang, Jakarta"/>
    <s v="JABODETABEK (INNER)"/>
    <x v="7"/>
    <s v="DKI JAKARTA"/>
    <s v="25"/>
    <s v="RFI"/>
    <s v="CME"/>
    <s v="RFI"/>
    <m/>
    <m/>
    <s v="LUCKI DWI PRISTANTO"/>
    <s v="FAZAR GANNY"/>
    <m/>
    <s v="LUCKI DWI PRISTANTO"/>
    <s v="FAZAR GANNY"/>
    <s v="PUSPITO HADIYANTO"/>
    <s v="DEWI NOVIANI SETIYAZI"/>
    <x v="1"/>
    <m/>
    <d v="2020-09-14T18:11:36"/>
    <d v="2020-09-14T19:31:52"/>
    <d v="2020-09-29T00:00:00"/>
    <m/>
    <m/>
    <m/>
    <d v="2020-09-14T18:16:53"/>
    <m/>
    <m/>
    <d v="2020-09-14T18:17:39"/>
    <m/>
    <m/>
    <s v="297"/>
    <d v="2020-09-20T00:00:00"/>
    <d v="2020-09-30T00:00:00"/>
    <d v="2021-02-22T00:00:00"/>
    <m/>
    <m/>
    <m/>
    <m/>
    <d v="1899-12-31T00:00:00"/>
    <m/>
    <d v="1899-12-31T00:00:00"/>
    <m/>
    <m/>
    <m/>
    <m/>
    <m/>
    <d v="2020-11-28T12:16:54"/>
    <m/>
    <m/>
    <d v="2020-03-20T00:00:00"/>
    <d v="2020-09-11T00:00:00"/>
    <d v="2020-09-29T11:42:38"/>
    <d v="2020-09-15T00:00:00"/>
    <d v="2020-09-29T11:43:18"/>
    <m/>
    <m/>
    <s v="MP"/>
    <s v="25"/>
    <s v="GF"/>
    <s v="1"/>
    <d v="2020-09-30T00:00:00"/>
    <d v="2020-09-17T15:00:11"/>
    <d v="2021-02-20T00:00:00"/>
    <m/>
    <s v="RFL"/>
    <d v="2020-09-18T00:00:00"/>
    <s v="OPM-SSTA/XII/2020/0187"/>
    <s v="okey"/>
    <d v="2020-12-22T11:22:50"/>
    <m/>
    <m/>
    <m/>
    <m/>
    <d v="1899-12-31T00:00:00"/>
    <m/>
    <s v="TSEL - BATCH#1 2020 "/>
    <s v="OUTDOOR"/>
    <d v="2020-09-29T12:16:54"/>
    <s v="Sub Urban"/>
    <m/>
    <s v="Lumpsum &amp; Not Fasum"/>
    <m/>
    <m/>
    <m/>
    <m/>
    <x v="8"/>
  </r>
  <r>
    <s v="0010588000011"/>
    <n v="10588000011"/>
    <x v="13"/>
    <s v="JUX585"/>
    <s v="PERMANENRUKOPLUITDLM"/>
    <s v="PERMANENRUKOPLUITDLM"/>
    <x v="1"/>
    <s v="-"/>
    <s v="STIP 1"/>
    <s v="TSEL"/>
    <s v="TB"/>
    <s v="021473/TBG-TB/TSEL/MKT/03/2020"/>
    <d v="2020-03-20T00:00:00"/>
    <s v="-6.12883"/>
    <s v="106.79423"/>
    <s v="PLUIT DALAM II RT.015, RW, 08 Kel . PENJARIGAN KEC. PENJARINGAN kOTA . JAKARTA UTARA "/>
    <s v="JABODETABEK (INNER)"/>
    <x v="7"/>
    <s v="DKI JAKARTA"/>
    <s v="20"/>
    <s v="RFI"/>
    <s v="CME"/>
    <s v="RFI"/>
    <m/>
    <m/>
    <s v="LUCKI DWI PRISTANTO"/>
    <s v="FAZAR GANNY"/>
    <m/>
    <s v="LUCKI DWI PRISTANTO"/>
    <s v="FAZAR GANNY"/>
    <s v="PUSPITO HADIYANTO"/>
    <s v="DEWI NOVIANI SETIYAZI"/>
    <x v="1"/>
    <m/>
    <d v="2020-04-11T08:50:35"/>
    <d v="2020-04-11T09:07:10"/>
    <d v="2020-04-29T00:00:00"/>
    <m/>
    <m/>
    <m/>
    <d v="2020-04-11T08:52:02"/>
    <m/>
    <m/>
    <d v="2020-04-11T08:53:25"/>
    <d v="2020-04-28T00:00:00"/>
    <m/>
    <s v="297"/>
    <d v="2020-05-18T00:00:00"/>
    <d v="2020-05-07T00:00:00"/>
    <d v="2021-02-22T00:00:00"/>
    <m/>
    <m/>
    <m/>
    <m/>
    <d v="1899-12-31T00:00:00"/>
    <m/>
    <d v="1899-12-31T00:00:00"/>
    <m/>
    <m/>
    <m/>
    <m/>
    <m/>
    <d v="2020-06-28T21:31:35"/>
    <m/>
    <m/>
    <d v="2020-03-20T00:00:00"/>
    <d v="2020-04-02T00:00:00"/>
    <d v="2020-04-29T21:15:26"/>
    <d v="2020-04-08T00:00:00"/>
    <d v="2020-04-29T21:17:13"/>
    <m/>
    <m/>
    <s v="MP"/>
    <s v="20"/>
    <s v="GF"/>
    <s v="1"/>
    <d v="2020-05-29T00:00:00"/>
    <m/>
    <d v="2020-08-28T00:00:00"/>
    <m/>
    <s v="RFL"/>
    <d v="2020-04-20T00:00:00"/>
    <s v="OPM-SSTA/VIII/2020/0070"/>
    <s v="OK sesuai hasil cek OME &amp; AFO"/>
    <d v="2020-08-21T13:24:51"/>
    <m/>
    <m/>
    <m/>
    <s v="542103683279"/>
    <d v="2020-04-28T00:00:00"/>
    <s v="PLN REGULER"/>
    <s v="TSEL - BATCH#1 2020 "/>
    <s v="OUTDOOR"/>
    <d v="2020-04-29T21:31:35"/>
    <s v="Sub Urban"/>
    <m/>
    <s v="Lumpsum &amp; Fasum"/>
    <m/>
    <m/>
    <m/>
    <m/>
    <x v="7"/>
  </r>
  <r>
    <s v="0010601850011"/>
    <n v="10601850011"/>
    <x v="14"/>
    <s v="JSX900"/>
    <s v="KEBONBARUTEBET"/>
    <s v="KEBONBARUTEBET"/>
    <x v="1"/>
    <s v="-"/>
    <s v="STIP 1"/>
    <s v="TSEL"/>
    <s v="TB"/>
    <s v="025390/TBG-TB/TSEL/MKT/09/2020"/>
    <d v="2020-09-23T00:00:00"/>
    <s v="-6.2349"/>
    <s v="106.8637"/>
    <s v="Jl.H,Rt.04/Rw.08,Kelurahan Kebon Baru,Kecamatan Tebet,Jakarta Selatan.Propinsi DKI"/>
    <s v="JABODETABEK (INNER)"/>
    <x v="8"/>
    <s v="DKI JAKARTA"/>
    <s v="20"/>
    <s v="RFI"/>
    <s v="CME"/>
    <s v="RFI"/>
    <m/>
    <m/>
    <s v="LUCKI DWI PRISTANTO"/>
    <s v="FANDI KURNIAWAN SAPUTRA"/>
    <m/>
    <s v="LUCKI DWI PRISTANTO"/>
    <s v="FAZAR GANNY"/>
    <s v="PUSPITO HADIYANTO"/>
    <s v="DEWI NOVIANI SETIYAZI"/>
    <x v="1"/>
    <m/>
    <d v="2020-10-28T15:20:51"/>
    <d v="2020-10-30T09:40:17"/>
    <d v="2020-10-30T00:00:00"/>
    <m/>
    <m/>
    <d v="2020-10-28T15:40:38"/>
    <d v="2020-10-28T15:44:44"/>
    <d v="2020-10-28T15:50:13"/>
    <m/>
    <d v="2020-10-28T16:26:52"/>
    <d v="2020-10-30T00:00:00"/>
    <m/>
    <s v="110"/>
    <d v="2020-11-10T00:00:00"/>
    <d v="2020-10-20T00:00:00"/>
    <d v="2021-02-22T00:00:00"/>
    <m/>
    <m/>
    <m/>
    <m/>
    <m/>
    <m/>
    <m/>
    <m/>
    <m/>
    <m/>
    <m/>
    <m/>
    <d v="2020-12-29T21:54:09"/>
    <m/>
    <m/>
    <d v="2020-09-23T00:00:00"/>
    <d v="2020-10-02T00:00:00"/>
    <d v="2020-10-30T21:40:19"/>
    <d v="2020-10-09T00:00:00"/>
    <d v="2020-10-30T21:41:25"/>
    <m/>
    <m/>
    <s v="POLE           "/>
    <s v="20                  "/>
    <s v="GF                  "/>
    <s v="1"/>
    <d v="2020-10-20T00:00:00"/>
    <d v="2021-04-16T10:40:55"/>
    <d v="2021-02-20T00:00:00"/>
    <m/>
    <s v="RFL"/>
    <d v="2020-10-30T00:00:00"/>
    <m/>
    <s v="-"/>
    <m/>
    <m/>
    <m/>
    <m/>
    <s v="544104335243"/>
    <d v="2020-10-30T00:00:00"/>
    <s v="PLN REGULER"/>
    <s v="TSEL - BATCH#2 2020 "/>
    <s v="OUTDOOR"/>
    <d v="2020-10-30T21:54:09"/>
    <s v="Sub Urban"/>
    <m/>
    <s v="Lumpsum &amp; Not Fasum"/>
    <m/>
    <m/>
    <m/>
    <m/>
    <x v="5"/>
  </r>
  <r>
    <s v="0010601860011"/>
    <n v="10601860011"/>
    <x v="15"/>
    <s v="JUX065"/>
    <s v="WADUKPLUIT"/>
    <s v="WADUKPLUIT"/>
    <x v="1"/>
    <s v="-"/>
    <s v="STIP 1"/>
    <s v="TSEL"/>
    <s v="TB"/>
    <s v="025391/TBG-TB/TSEL/MKT/09/2020"/>
    <d v="2020-09-23T00:00:00"/>
    <s v="-6.11846"/>
    <s v="106.79662"/>
    <s v="Waduk Pluit Selatan  RT. 06 RW 05 Kel. Pluit,  Penjaringan Jakarta Utara"/>
    <s v="JABODETABEK (INNER)"/>
    <x v="7"/>
    <s v="DKI JAKARTA"/>
    <s v="20"/>
    <s v="RFI"/>
    <s v="CME"/>
    <s v="RFI"/>
    <m/>
    <m/>
    <s v="LUCKI DWI PRISTANTO"/>
    <s v="FANDI KURNIAWAN SAPUTRA"/>
    <m/>
    <s v="LUCKI DWI PRISTANTO"/>
    <s v="FAZAR GANNY"/>
    <s v="PUSPITO HADIYANTO"/>
    <s v="DEWI NOVIANI SETIYAZI"/>
    <x v="1"/>
    <m/>
    <d v="2020-10-16T14:40:49"/>
    <d v="2020-10-16T17:26:37"/>
    <d v="2020-11-09T00:00:00"/>
    <m/>
    <m/>
    <m/>
    <d v="2020-10-16T14:44:07"/>
    <m/>
    <m/>
    <d v="2020-10-16T14:48:27"/>
    <d v="2020-10-27T00:00:00"/>
    <m/>
    <s v="110"/>
    <d v="2020-11-06T00:00:00"/>
    <d v="2020-11-10T00:00:00"/>
    <d v="2021-02-22T00:00:00"/>
    <m/>
    <m/>
    <m/>
    <m/>
    <m/>
    <m/>
    <m/>
    <m/>
    <m/>
    <m/>
    <m/>
    <m/>
    <d v="2021-01-08T09:59:27"/>
    <m/>
    <m/>
    <d v="2020-09-23T00:00:00"/>
    <d v="2020-10-02T00:00:00"/>
    <d v="2020-11-07T14:33:20"/>
    <d v="2020-10-06T00:00:00"/>
    <d v="2020-11-07T14:33:53"/>
    <m/>
    <m/>
    <s v="POLE           "/>
    <s v="20                  "/>
    <s v="GF                  "/>
    <s v="1"/>
    <d v="2020-11-10T00:00:00"/>
    <d v="2021-04-02T19:12:03"/>
    <d v="2021-01-15T00:00:00"/>
    <m/>
    <s v="RFL"/>
    <d v="2020-10-16T00:00:00"/>
    <s v="OPM-SSTA/XII/2020/0188"/>
    <s v="-"/>
    <m/>
    <m/>
    <m/>
    <m/>
    <s v="542103767876"/>
    <d v="2020-10-27T00:00:00"/>
    <s v="PLN REGULER"/>
    <s v="TSEL - BATCH#2 2020 "/>
    <s v="OUTDOOR"/>
    <d v="2020-11-09T09:59:27"/>
    <s v="Sub Urban"/>
    <m/>
    <s v="Lumpsum &amp; Fasum"/>
    <m/>
    <m/>
    <m/>
    <m/>
    <x v="7"/>
  </r>
  <r>
    <s v="0010601870011"/>
    <n v="10601870011"/>
    <x v="16"/>
    <s v="SRG261"/>
    <s v="SITUTERATECIKANDE"/>
    <s v="SITUTERATECIKANDE"/>
    <x v="0"/>
    <s v="-"/>
    <s v="STIP 1"/>
    <s v="TSEL"/>
    <s v="TB"/>
    <s v="025392/TBG-TB/TSEL/MKT/09/2020"/>
    <d v="2020-09-23T00:00:00"/>
    <s v="-6.20822"/>
    <s v="106.34232"/>
    <s v="Kp. Cirendol RT.13 RW 04 Desa Leuwilimus Kecamatan Cikande Kabupaten Serang "/>
    <s v="JABODETABEK (OUTER)"/>
    <x v="9"/>
    <s v="BANTEN"/>
    <s v="42"/>
    <s v="RFI"/>
    <s v="CME"/>
    <s v="RFI"/>
    <m/>
    <m/>
    <s v="LUCKI DWI PRISTANTO"/>
    <s v="FANDI KURNIAWAN SAPUTRA"/>
    <s v="A. RACHMAN"/>
    <s v="LUCKI DWI PRISTANTO"/>
    <s v="FAZAR GANNY"/>
    <s v="M ARIF HELMI"/>
    <s v="DEWI NOVIANI SETIYAZI"/>
    <x v="0"/>
    <s v="PT. Banjarpasir Nusa Pratama"/>
    <d v="2020-09-26T14:13:02"/>
    <d v="2020-09-28T09:49:49"/>
    <d v="2020-10-24T00:00:00"/>
    <m/>
    <m/>
    <d v="2020-09-26T14:48:20"/>
    <d v="2020-09-26T21:41:28"/>
    <d v="2020-09-27T15:32:09"/>
    <m/>
    <d v="2020-09-27T15:32:28"/>
    <d v="2020-10-17T00:00:00"/>
    <m/>
    <s v="110"/>
    <d v="2020-10-28T00:00:00"/>
    <d v="2020-12-17T00:00:00"/>
    <d v="2020-12-21T00:00:00"/>
    <d v="2020-12-29T00:00:00"/>
    <d v="2020-12-16T16:25:35"/>
    <m/>
    <m/>
    <d v="2020-09-30T10:58:00"/>
    <s v="PO/TB/20/N017017"/>
    <d v="2020-11-19T08:08:00"/>
    <m/>
    <m/>
    <s v="4300001969"/>
    <d v="2020-11-10T00:00:00"/>
    <d v="2020-11-11T14:41:08"/>
    <d v="2020-12-23T16:10:24"/>
    <m/>
    <m/>
    <d v="2020-09-23T00:00:00"/>
    <d v="2020-10-04T00:00:00"/>
    <d v="2020-10-05T16:18:19"/>
    <d v="2020-10-11T00:00:00"/>
    <d v="2020-10-14T20:47:09"/>
    <d v="2020-11-30T00:00:00"/>
    <d v="1899-12-31T00:00:00"/>
    <s v="SST            "/>
    <s v="42                  "/>
    <s v="GF                  "/>
    <s v="1"/>
    <d v="2020-12-17T00:00:00"/>
    <d v="2020-12-30T00:00:00"/>
    <d v="2021-02-20T00:00:00"/>
    <m/>
    <s v="RFL"/>
    <d v="2020-09-28T00:00:00"/>
    <m/>
    <s v="-"/>
    <m/>
    <m/>
    <m/>
    <m/>
    <s v="561400759763"/>
    <d v="2020-10-17T00:00:00"/>
    <s v="PLN REGULER"/>
    <s v="TSEL - BATCH#2 2020 "/>
    <s v="OUTDOOR"/>
    <d v="2020-10-24T16:10:24"/>
    <s v="Sub Urban"/>
    <s v="RTC 1"/>
    <s v="Standard"/>
    <s v="PO/TB/20/N014163"/>
    <n v="88500000"/>
    <n v="13500000"/>
    <n v="75000000"/>
    <x v="6"/>
  </r>
  <r>
    <s v="0010601920011"/>
    <n v="10601920011"/>
    <x v="17"/>
    <s v="SKB146"/>
    <s v="AWILEGA"/>
    <s v="AWILEGA"/>
    <x v="0"/>
    <s v="-"/>
    <s v="STIP 1"/>
    <s v="TSEL"/>
    <s v="TB"/>
    <s v="025397/TBG-TB/TSEL/MKT/09/2020"/>
    <d v="2020-09-23T00:00:00"/>
    <s v="-6.98712"/>
    <s v="106.83768"/>
    <s v="Kp. Pondok Bitung RT 001 RW 007 Desa Kertaraharja Kecamatan Cikembar Kabupaten Sukabumi"/>
    <s v="JABODETABEK (OUTER)"/>
    <x v="5"/>
    <s v="JAWA BARAT"/>
    <s v="72"/>
    <s v="RFI"/>
    <s v="CME"/>
    <s v="RFI"/>
    <m/>
    <m/>
    <s v="LUCKI DWI PRISTANTO"/>
    <s v="FANDI KURNIAWAN SAPUTRA"/>
    <m/>
    <s v="LUCKI DWI PRISTANTO"/>
    <s v="FAZAR GANNY"/>
    <s v="PUSPITO HADIYANTO"/>
    <s v="DEWI NOVIANI SETIYAZI"/>
    <x v="0"/>
    <s v="PT. Banjarpasir Nusa Pratama"/>
    <d v="2020-11-03T10:32:01"/>
    <d v="2020-11-10T21:05:05"/>
    <d v="2020-12-14T00:00:00"/>
    <m/>
    <m/>
    <d v="2020-11-04T10:21:33"/>
    <d v="2020-11-04T17:06:24"/>
    <d v="2020-11-05T08:59:28"/>
    <m/>
    <d v="2020-11-05T08:57:12"/>
    <d v="2020-12-04T00:00:00"/>
    <m/>
    <s v="110"/>
    <d v="2020-12-15T00:00:00"/>
    <d v="2020-11-10T00:00:00"/>
    <d v="2021-01-20T00:00:00"/>
    <m/>
    <m/>
    <m/>
    <m/>
    <d v="2020-11-14T11:21:00"/>
    <s v="PO/TB/20/N018431"/>
    <d v="2020-12-17T13:38:00"/>
    <m/>
    <m/>
    <s v="4300001969"/>
    <d v="2020-11-10T00:00:00"/>
    <d v="2020-11-11T14:42:47"/>
    <d v="2021-02-12T10:45:24"/>
    <m/>
    <m/>
    <d v="2020-09-23T00:00:00"/>
    <d v="2020-11-13T00:00:00"/>
    <d v="2020-11-18T09:19:42"/>
    <d v="2020-11-18T00:00:00"/>
    <d v="2020-11-20T10:05:11"/>
    <m/>
    <m/>
    <s v="SST            "/>
    <s v="72                  "/>
    <s v="GF                  "/>
    <s v="1"/>
    <d v="2020-11-10T00:00:00"/>
    <d v="2021-04-28T10:35:40"/>
    <d v="2021-03-10T00:00:00"/>
    <m/>
    <s v="RFL"/>
    <d v="2020-11-11T00:00:00"/>
    <m/>
    <s v="-"/>
    <m/>
    <m/>
    <m/>
    <m/>
    <s v="536411563335"/>
    <d v="2020-12-04T00:00:00"/>
    <s v="PLN REGULER"/>
    <s v="TSEL - BATCH#2 2020 "/>
    <s v="OUTDOOR"/>
    <d v="2020-12-14T10:45:24"/>
    <s v="Sub Urban"/>
    <m/>
    <s v="Standard"/>
    <s v="PO/TB/20/N016753"/>
    <n v="93000000"/>
    <n v="11500000"/>
    <n v="81500000"/>
    <x v="1"/>
  </r>
  <r>
    <s v="0010602260011"/>
    <n v="10602260011"/>
    <x v="18"/>
    <s v="JSX825"/>
    <s v="JLKOSTRAD"/>
    <s v="JLKOSTRAD"/>
    <x v="1"/>
    <s v="-"/>
    <s v="STIP 1"/>
    <s v="TSEL"/>
    <s v="TB"/>
    <s v="025435/TBG-TB/TSEL/MKT/09/2020"/>
    <d v="2020-09-30T00:00:00"/>
    <s v="-6.23304"/>
    <s v="106.76062"/>
    <s v="Jl. Swadarma No.29  RT.001 RW. 08 Kel. Ulujami, Kec. Pesanggrahan Kota Jakarta Selatan"/>
    <s v="JABODETABEK (INNER)"/>
    <x v="8"/>
    <s v="DKI JAKARTA"/>
    <s v="20"/>
    <s v="RFI"/>
    <s v="CME"/>
    <s v="RFI"/>
    <m/>
    <m/>
    <s v="LUCKI DWI PRISTANTO"/>
    <s v="FANDI KURNIAWAN SAPUTRA"/>
    <m/>
    <s v="LUCKI DWI PRISTANTO"/>
    <s v="FAZAR GANNY"/>
    <s v="PUSPITO HADIYANTO"/>
    <s v="DEWI NOVIANI SETIYAZI"/>
    <x v="1"/>
    <m/>
    <d v="2020-10-15T13:28:42"/>
    <d v="2020-10-16T06:53:30"/>
    <d v="2020-10-29T00:00:00"/>
    <m/>
    <m/>
    <d v="2020-10-15T13:46:15"/>
    <d v="2020-10-15T13:50:33"/>
    <d v="2020-10-15T14:03:35"/>
    <m/>
    <d v="2020-10-15T14:04:31"/>
    <d v="2020-10-23T00:00:00"/>
    <m/>
    <s v="103"/>
    <d v="2020-11-07T00:00:00"/>
    <d v="2020-10-09T00:00:00"/>
    <d v="2021-02-22T00:00:00"/>
    <m/>
    <m/>
    <m/>
    <m/>
    <m/>
    <m/>
    <m/>
    <m/>
    <m/>
    <m/>
    <m/>
    <m/>
    <d v="2020-12-28T22:14:10"/>
    <m/>
    <m/>
    <d v="2020-10-05T00:00:00"/>
    <d v="2020-10-03T00:00:00"/>
    <d v="2020-10-29T16:08:28"/>
    <d v="2020-10-06T00:00:00"/>
    <d v="2020-10-29T16:08:48"/>
    <m/>
    <m/>
    <s v="POLE           "/>
    <s v="20                  "/>
    <s v="GF                  "/>
    <s v="1"/>
    <d v="2020-10-09T00:00:00"/>
    <d v="2021-04-02T10:50:28"/>
    <d v="2021-02-20T00:00:00"/>
    <m/>
    <s v="RFL"/>
    <d v="2020-10-16T00:00:00"/>
    <m/>
    <s v="-"/>
    <m/>
    <m/>
    <m/>
    <m/>
    <s v="543802923035"/>
    <d v="2020-10-23T00:00:00"/>
    <s v="PLN REGULER"/>
    <s v="TSEL - BATCH#2 2020 "/>
    <s v="OUTDOOR"/>
    <d v="2020-10-29T22:14:10"/>
    <s v="Sub Urban"/>
    <m/>
    <s v="Lumpsum &amp; Not Fasum"/>
    <m/>
    <m/>
    <m/>
    <m/>
    <x v="9"/>
  </r>
  <r>
    <s v="0030571750031"/>
    <n v="30571750031"/>
    <x v="19"/>
    <s v="JAW-JK-KYB-0096"/>
    <s v="JALAN GARUDA MAS"/>
    <s v="Jalan Garuda Mas"/>
    <x v="1"/>
    <s v="-"/>
    <s v="STIP 1"/>
    <s v="XL"/>
    <s v="TB"/>
    <s v="018360/TBG-TB/XL/MKT/01/2020"/>
    <d v="2020-01-14T00:00:00"/>
    <s v="-6.30917"/>
    <s v="106.84661"/>
    <s v="Jl. Nangka GG H. Nawi RT.002 Rw.06 N0. 7 Kel. Tanjung Barat Kec. Jagakarsa Jakarta Selatan"/>
    <s v="JABODETABEK (INNER)"/>
    <x v="8"/>
    <s v="DKI JAKARTA"/>
    <s v="25"/>
    <s v="BAPS"/>
    <s v="BAPS"/>
    <s v="RFI"/>
    <m/>
    <m/>
    <s v="LUCKI DWI PRISTANTO"/>
    <s v="FAZAR GANNY"/>
    <s v="A. RACHMAN"/>
    <s v="LUCKI DWI PRISTANTO"/>
    <s v="FAZAR GANNY"/>
    <s v="M ARIF HELMI"/>
    <s v="SHERLY MAULANA"/>
    <x v="1"/>
    <m/>
    <d v="2020-06-30T12:58:58"/>
    <d v="2020-06-30T14:09:13"/>
    <d v="2020-06-30T00:00:00"/>
    <m/>
    <d v="2020-09-27T00:00:00"/>
    <d v="2020-06-30T13:16:50"/>
    <d v="2020-06-30T13:19:00"/>
    <d v="2020-06-30T14:06:27"/>
    <m/>
    <d v="2020-06-30T13:20:11"/>
    <d v="2020-08-06T00:00:00"/>
    <m/>
    <s v="363"/>
    <d v="2020-07-08T00:00:00"/>
    <d v="2020-06-18T00:00:00"/>
    <d v="2020-10-20T00:00:00"/>
    <d v="2020-10-08T00:00:00"/>
    <d v="2020-10-05T11:21:29"/>
    <s v="1864/TB/BAUF-XL/VI/2020"/>
    <m/>
    <d v="1899-12-31T00:00:00"/>
    <m/>
    <d v="1899-12-31T00:00:00"/>
    <m/>
    <m/>
    <m/>
    <m/>
    <m/>
    <d v="2020-08-29T16:31:58"/>
    <d v="2020-09-27T00:00:00"/>
    <d v="2030-09-26T00:00:00"/>
    <d v="2020-01-14T00:00:00"/>
    <d v="2020-06-10T00:00:00"/>
    <d v="2020-06-30T16:27:18"/>
    <d v="2020-06-12T00:00:00"/>
    <d v="2020-06-30T16:27:37"/>
    <m/>
    <m/>
    <s v="MP             "/>
    <s v="25                  "/>
    <s v="GF                  "/>
    <s v="1"/>
    <d v="2020-06-30T00:00:00"/>
    <d v="2020-12-15T14:59:33"/>
    <d v="2020-11-27T00:00:00"/>
    <m/>
    <s v="RFL"/>
    <d v="2020-06-30T00:00:00"/>
    <s v="OPM-SSTA/X/2020/0237"/>
    <s v="OK sesuai hasil cek OME &amp; AFO"/>
    <d v="2020-10-28T11:36:19"/>
    <m/>
    <m/>
    <m/>
    <s v="547401723708"/>
    <d v="2020-08-06T00:00:00"/>
    <s v="PLN REGULER"/>
    <s v="Commitment New Roll Out 2020 Exp Dec 2020 - SRFI"/>
    <s v="OUTDOOR"/>
    <d v="2020-06-30T00:00:00"/>
    <s v="Sub Urban"/>
    <m/>
    <s v="Lumpsum &amp; Not Fasum"/>
    <m/>
    <m/>
    <m/>
    <m/>
    <x v="5"/>
  </r>
  <r>
    <s v="0030571760031"/>
    <n v="30571760031"/>
    <x v="20"/>
    <s v="JAW-JK-KYB-0097"/>
    <s v="JALAN ASEM CIPEDAK"/>
    <s v="Jalan Asem Cipedak"/>
    <x v="1"/>
    <s v="-"/>
    <s v="STIP 1"/>
    <s v="XL"/>
    <s v="TB"/>
    <s v="018361/TBG-TB/XL/MKT/01/2020"/>
    <d v="2020-01-14T00:00:00"/>
    <s v="-6.35262"/>
    <s v="106.80441"/>
    <s v="Jl.Timbul III B RT.08, RW 04,Kel. Cipedak  KEC. Jagakarsa KOTA  Jakarta Selatan JABODETABEK_x0009__x0009__x0009__x0009__x000a_"/>
    <s v="JABODETABEK (INNER)"/>
    <x v="8"/>
    <s v="DKI JAKARTA"/>
    <s v="25"/>
    <s v="BAPS"/>
    <s v="BAPS"/>
    <s v="RFI"/>
    <m/>
    <m/>
    <s v="LUCKI DWI PRISTANTO"/>
    <s v="FAZAR GANNY"/>
    <s v="A. RACHMAN"/>
    <s v="LUCKI DWI PRISTANTO"/>
    <s v="FAZAR GANNY"/>
    <s v="PUSPITO HADIYANTO"/>
    <s v="SHERLY MAULANA"/>
    <x v="1"/>
    <m/>
    <d v="2020-06-27T06:11:09"/>
    <d v="2020-06-27T08:20:54"/>
    <d v="2020-06-30T00:00:00"/>
    <m/>
    <d v="2020-09-28T00:00:00"/>
    <d v="2020-07-15T08:55:13"/>
    <d v="2020-06-27T06:49:55"/>
    <d v="2020-06-27T07:50:05"/>
    <m/>
    <d v="2020-06-27T06:50:41"/>
    <d v="2020-07-22T00:00:00"/>
    <m/>
    <s v="363"/>
    <d v="2020-07-08T00:00:00"/>
    <d v="2020-06-18T00:00:00"/>
    <d v="2020-10-20T00:00:00"/>
    <d v="2020-10-15T00:00:00"/>
    <d v="2020-10-13T14:42:26"/>
    <s v="1869/TB/BAUF-XL/VI/2020"/>
    <m/>
    <d v="1899-12-31T00:00:00"/>
    <m/>
    <d v="1899-12-31T00:00:00"/>
    <m/>
    <m/>
    <m/>
    <m/>
    <m/>
    <d v="2020-08-29T16:32:04"/>
    <d v="2020-09-28T00:00:00"/>
    <d v="2030-09-27T00:00:00"/>
    <d v="2020-01-14T00:00:00"/>
    <d v="2020-06-12T00:00:00"/>
    <d v="2020-06-30T16:03:49"/>
    <d v="2020-06-12T00:00:00"/>
    <d v="2020-06-30T16:04:20"/>
    <m/>
    <m/>
    <s v="MP             "/>
    <s v="25                  "/>
    <s v="GF                  "/>
    <s v="1"/>
    <d v="2020-06-30T00:00:00"/>
    <d v="2020-12-14T09:30:05"/>
    <d v="2021-01-20T00:00:00"/>
    <m/>
    <s v="RFL"/>
    <d v="2020-06-29T00:00:00"/>
    <s v="OPM-SSTA/XII/2020/0215"/>
    <s v="OK - SESUAI HASIL CEK AFO &amp; OME"/>
    <d v="2021-01-07T12:08:41"/>
    <m/>
    <m/>
    <m/>
    <s v="547401717015"/>
    <d v="2020-07-22T00:00:00"/>
    <s v="PLN REGULER"/>
    <s v="Commitment New Roll Out 2020 Exp Dec 2020 - SRFI"/>
    <s v="OUTDOOR"/>
    <d v="2020-06-30T00:00:00"/>
    <s v="Sub Urban"/>
    <m/>
    <s v="Lumpsum &amp; Not Fasum"/>
    <m/>
    <m/>
    <m/>
    <m/>
    <x v="4"/>
  </r>
  <r>
    <s v="0030571770031"/>
    <n v="30571770031"/>
    <x v="21"/>
    <s v="JAW-JK-KYB-0098"/>
    <s v="JALAN PEMUDA CIPEDAK"/>
    <s v="Jalan Pemuda Cipedak"/>
    <x v="1"/>
    <s v="-"/>
    <s v="STIP 1"/>
    <s v="XL"/>
    <s v="TB"/>
    <s v="018362/TBG-TB/XL/MKT/01/2020"/>
    <d v="2020-01-14T00:00:00"/>
    <s v="-6.35875"/>
    <s v="106.81216"/>
    <s v="Jl. Pemuda I No.4 RT.008 RW.09 Kel. Srengseng Sawah, Kec.Jagakarsa, Kota Jakarta Selatan"/>
    <s v="JABODETABEK (INNER)"/>
    <x v="8"/>
    <s v="DKI JAKARTA"/>
    <s v="20"/>
    <s v="BAPS"/>
    <s v="BAPS"/>
    <s v="RFI"/>
    <m/>
    <m/>
    <s v="LUCKI DWI PRISTANTO"/>
    <s v="FAZAR GANNY"/>
    <s v="A. RACHMAN"/>
    <s v="LUCKI DWI PRISTANTO"/>
    <s v="FAZAR GANNY"/>
    <s v="M ARIF HELMI"/>
    <s v="SHERLY MAULANA"/>
    <x v="1"/>
    <m/>
    <d v="2020-07-21T13:56:16"/>
    <d v="2020-07-21T19:05:31"/>
    <d v="2020-07-24T00:00:00"/>
    <m/>
    <d v="2020-10-20T00:00:00"/>
    <d v="2020-07-21T16:36:39"/>
    <d v="2020-07-21T18:09:17"/>
    <d v="2020-07-21T18:29:13"/>
    <m/>
    <d v="2020-07-21T18:09:53"/>
    <d v="2020-09-11T00:00:00"/>
    <m/>
    <s v="363"/>
    <d v="2020-09-20T00:00:00"/>
    <d v="2020-08-20T00:00:00"/>
    <d v="2020-11-05T00:00:00"/>
    <d v="2020-11-20T00:00:00"/>
    <d v="2020-11-18T11:14:01"/>
    <s v="1914/TB/BAUF-XL/VII/2020"/>
    <m/>
    <d v="1899-12-31T00:00:00"/>
    <m/>
    <d v="1899-12-31T00:00:00"/>
    <m/>
    <m/>
    <m/>
    <m/>
    <m/>
    <d v="2020-09-22T22:02:36"/>
    <d v="2020-10-20T00:00:00"/>
    <d v="2030-10-19T00:00:00"/>
    <d v="2020-01-14T00:00:00"/>
    <d v="2020-07-10T00:00:00"/>
    <d v="2020-07-24T00:04:35"/>
    <d v="2020-07-10T00:00:00"/>
    <d v="2020-07-24T00:05:23"/>
    <m/>
    <m/>
    <s v="MP             "/>
    <s v="20                  "/>
    <s v="GF                  "/>
    <s v="1"/>
    <d v="2020-08-20T00:00:00"/>
    <d v="2021-01-06T08:58:39"/>
    <d v="2020-11-20T00:00:00"/>
    <m/>
    <s v="RFL"/>
    <d v="2020-07-22T00:00:00"/>
    <s v="OPM-SSTA/X/2020/0238"/>
    <s v="OK sesuai hasil cek OME &amp; AFO"/>
    <d v="2020-10-28T11:41:03"/>
    <m/>
    <m/>
    <m/>
    <s v="547401725313"/>
    <d v="2020-09-11T00:00:00"/>
    <s v="PLN REGULER"/>
    <s v="Commitment New Roll Out 2020 Exp Dec 2020 - SRFI"/>
    <s v="OUTDOOR"/>
    <d v="2020-07-24T00:00:00"/>
    <s v="Sub Urban"/>
    <m/>
    <s v="Lumpsum &amp; Not Fasum"/>
    <m/>
    <m/>
    <m/>
    <m/>
    <x v="6"/>
  </r>
  <r>
    <s v="0030571790031"/>
    <n v="30571790031"/>
    <x v="22"/>
    <s v="JAW-JK-KYB-0102"/>
    <s v="MENTENG LENTENG AGUNG"/>
    <s v="Menteng Lenteng Agung"/>
    <x v="1"/>
    <s v="-"/>
    <s v="STIP 1"/>
    <s v="XL"/>
    <s v="TB"/>
    <s v="018364/TBG-TB/XL/MKT/01/2020"/>
    <d v="2020-01-14T00:00:00"/>
    <s v="-6.328211"/>
    <s v="106.830761"/>
    <s v="Jl.Menteng RT 07, R06 Kel .lenteng Agung Kec. Jaga Karsa "/>
    <s v="JABODETABEK (INNER)"/>
    <x v="8"/>
    <s v="DKI JAKARTA"/>
    <s v="20"/>
    <s v="BAPS"/>
    <s v="BAPS"/>
    <s v="RFI"/>
    <m/>
    <m/>
    <s v="LUCKI DWI PRISTANTO"/>
    <s v="FAZAR GANNY"/>
    <s v="A. RACHMAN"/>
    <s v="LUCKI DWI PRISTANTO"/>
    <s v="FAZAR GANNY"/>
    <s v="M ARIF HELMI"/>
    <s v="SHERLY MAULANA"/>
    <x v="1"/>
    <m/>
    <d v="2020-02-12T17:22:04"/>
    <d v="2020-07-21T19:32:47"/>
    <d v="2020-07-24T00:00:00"/>
    <m/>
    <d v="2020-10-21T00:00:00"/>
    <m/>
    <d v="2020-02-12T17:27:07"/>
    <m/>
    <m/>
    <d v="2020-02-12T17:28:22"/>
    <d v="2020-09-16T00:00:00"/>
    <m/>
    <s v="363"/>
    <d v="2020-07-18T00:00:00"/>
    <d v="2020-07-05T00:00:00"/>
    <d v="2020-10-20T00:00:00"/>
    <d v="2020-10-15T00:00:00"/>
    <d v="2020-10-13T14:23:35"/>
    <s v="1915/TB/BAUF-XL/VII/2020"/>
    <m/>
    <d v="1899-12-31T00:00:00"/>
    <m/>
    <d v="1899-12-31T00:00:00"/>
    <m/>
    <m/>
    <m/>
    <m/>
    <m/>
    <d v="2020-09-22T22:37:56"/>
    <d v="2020-10-21T00:00:00"/>
    <d v="2030-10-20T00:00:00"/>
    <d v="2020-01-14T00:00:00"/>
    <d v="2020-07-10T00:00:00"/>
    <d v="2020-07-24T00:24:25"/>
    <d v="2020-07-14T00:00:00"/>
    <d v="2020-07-24T00:24:52"/>
    <m/>
    <m/>
    <s v="MP             "/>
    <s v="20                  "/>
    <s v="GF                  "/>
    <s v="1"/>
    <d v="2020-07-05T00:00:00"/>
    <d v="2020-12-15T17:24:54"/>
    <d v="2020-11-20T00:00:00"/>
    <m/>
    <s v="RFL"/>
    <d v="2020-06-30T00:00:00"/>
    <s v="OPM-SSTA/X/2020/0239"/>
    <s v="OK sesuai hasil cek OME &amp; AFO"/>
    <d v="2020-10-28T12:02:50"/>
    <m/>
    <m/>
    <m/>
    <s v="547401737021"/>
    <d v="2020-09-16T00:00:00"/>
    <s v="PLN REGULER"/>
    <s v="Commitment New Roll Out 2020 Exp Dec 2020 - SRFI"/>
    <s v="OUTDOOR"/>
    <d v="2020-07-24T00:00:00"/>
    <s v="Sub Urban"/>
    <m/>
    <s v="Lumpsum &amp; Not Fasum"/>
    <m/>
    <m/>
    <m/>
    <m/>
    <x v="2"/>
  </r>
  <r>
    <s v="0030571800031"/>
    <n v="30571800031"/>
    <x v="23"/>
    <s v="JAW-JK-CKG-0664"/>
    <s v="KESADARAN CIPINANG"/>
    <s v="Kesadaran Cipinang"/>
    <x v="1"/>
    <s v="-"/>
    <s v="STIP 1"/>
    <s v="XL"/>
    <s v="TB"/>
    <s v="018365/TBG-TB/XL/MKT/01/2020"/>
    <d v="2020-01-14T00:00:00"/>
    <s v="-6.23561"/>
    <s v="106.89187"/>
    <s v="Jalan Pinang Merah RT.005 RW.016 Kel. Cipinang Muara Kec. Jatinegara Kota. Jakarta Timur"/>
    <s v="JABODETABEK (INNER)"/>
    <x v="10"/>
    <s v="DKI JAKARTA"/>
    <s v="20"/>
    <s v="BAPS"/>
    <s v="BAPS"/>
    <s v="RFI"/>
    <m/>
    <m/>
    <s v="LUCKI DWI PRISTANTO"/>
    <s v="FAZAR GANNY"/>
    <s v="A. RACHMAN"/>
    <s v="LUCKI DWI PRISTANTO"/>
    <s v="FAZAR GANNY"/>
    <s v="PUSPITO HADIYANTO"/>
    <s v="SHERLY MAULANA"/>
    <x v="1"/>
    <m/>
    <d v="2020-03-23T18:39:51"/>
    <d v="2020-03-28T16:23:31"/>
    <d v="2020-06-30T00:00:00"/>
    <m/>
    <d v="2020-08-18T00:00:00"/>
    <m/>
    <d v="2020-03-23T18:43:56"/>
    <m/>
    <m/>
    <d v="2020-03-23T18:44:42"/>
    <d v="2020-07-24T00:00:00"/>
    <m/>
    <s v="363"/>
    <d v="2020-07-10T00:00:00"/>
    <d v="2020-03-23T00:00:00"/>
    <d v="2020-10-20T00:00:00"/>
    <d v="2020-10-08T00:00:00"/>
    <d v="2020-10-05T11:15:24"/>
    <s v="1867/TB/BAUF-XL/VI/2020"/>
    <m/>
    <d v="1899-12-31T00:00:00"/>
    <m/>
    <d v="1899-12-31T00:00:00"/>
    <m/>
    <m/>
    <m/>
    <m/>
    <m/>
    <d v="2020-08-29T11:28:14"/>
    <d v="2020-08-18T00:00:00"/>
    <d v="2030-08-17T00:00:00"/>
    <d v="2020-01-14T00:00:00"/>
    <d v="2020-04-21T00:00:00"/>
    <d v="2020-04-22T21:47:23"/>
    <d v="2020-04-22T00:00:00"/>
    <d v="2020-04-22T21:48:07"/>
    <m/>
    <m/>
    <s v="MP             "/>
    <s v="20                  "/>
    <s v="GF                  "/>
    <s v="1"/>
    <d v="2020-07-31T00:00:00"/>
    <m/>
    <d v="2020-11-20T00:00:00"/>
    <m/>
    <s v="RFL"/>
    <d v="2020-04-12T00:00:00"/>
    <s v="OPM-SSTA/X/2020/0243"/>
    <s v="okey"/>
    <d v="2020-11-27T11:12:00"/>
    <m/>
    <m/>
    <m/>
    <s v="544104319788"/>
    <d v="2020-07-24T00:00:00"/>
    <s v="PLN REGULER"/>
    <s v="Commitment New Roll Out 2020 Exp Dec 2020 - SRFI"/>
    <s v="OUTDOOR"/>
    <d v="2020-06-30T00:00:00"/>
    <s v="Sub Urban"/>
    <m/>
    <s v="Lumpsum &amp; Fasum"/>
    <m/>
    <m/>
    <m/>
    <m/>
    <x v="7"/>
  </r>
  <r>
    <s v="0030571820031"/>
    <n v="30571820031"/>
    <x v="24"/>
    <s v="JAW-BT-TNG-1492"/>
    <s v="KARANG TIMUR TANGERANG"/>
    <s v="Karang Timur Tangerang"/>
    <x v="0"/>
    <s v="-"/>
    <s v="STIP 1"/>
    <s v="XL"/>
    <s v="TB"/>
    <s v="018367/TBG-TB/XL/MKT/01/2020"/>
    <d v="2020-01-14T00:00:00"/>
    <s v="-6.22115"/>
    <s v="106.71564"/>
    <s v="Jl. H. Mean V, RT.004, RW.010, Kelurahan Karang Timur, Kecamatan Karang Tengah, Kota Tangerang, Provinsi Banten"/>
    <s v="JABODETABEK (INNER)"/>
    <x v="1"/>
    <s v="BANTEN"/>
    <s v="32"/>
    <s v="RFI"/>
    <s v="CME"/>
    <s v="RFI"/>
    <m/>
    <m/>
    <s v="LUCKI DWI PRISTANTO"/>
    <s v="FANDI KURNIAWAN SAPUTRA"/>
    <s v="A. RACHMAN"/>
    <s v="LUCKI DWI PRISTANTO"/>
    <s v="FAZAR GANNY"/>
    <s v="M ARIF HELMI"/>
    <s v="SHERLY MAULANA"/>
    <x v="3"/>
    <s v="PT. ARENAS ADI PERKASA"/>
    <d v="2020-08-07T10:40:59"/>
    <d v="2020-08-24T10:21:08"/>
    <d v="2020-09-27T00:00:00"/>
    <m/>
    <m/>
    <d v="2020-08-18T10:03:01"/>
    <d v="2020-08-21T13:07:25"/>
    <d v="2020-08-24T09:39:13"/>
    <m/>
    <d v="2020-08-21T18:02:20"/>
    <d v="2020-12-16T00:00:00"/>
    <m/>
    <s v="363"/>
    <d v="2020-09-20T00:00:00"/>
    <d v="2020-08-20T00:00:00"/>
    <d v="2020-12-21T00:00:00"/>
    <d v="2020-12-27T00:00:00"/>
    <d v="2020-12-21T14:03:00"/>
    <m/>
    <m/>
    <d v="2020-09-09T13:55:00"/>
    <s v="PO/TB/20/N014050"/>
    <d v="2020-09-28T19:31:00"/>
    <m/>
    <m/>
    <m/>
    <m/>
    <m/>
    <d v="2020-11-26T22:00:01"/>
    <m/>
    <m/>
    <d v="2020-01-14T00:00:00"/>
    <d v="2020-08-06T00:00:00"/>
    <d v="2020-08-27T11:07:49"/>
    <d v="2020-08-23T00:00:00"/>
    <d v="2020-09-11T11:09:18"/>
    <d v="2020-12-30T00:00:00"/>
    <d v="1899-12-31T00:00:00"/>
    <s v="SST            "/>
    <s v="32                  "/>
    <s v="GF                  "/>
    <s v="1"/>
    <d v="2020-08-20T00:00:00"/>
    <d v="2020-12-31T00:00:00"/>
    <d v="2021-02-10T00:00:00"/>
    <m/>
    <s v="RFL"/>
    <d v="2020-08-24T00:00:00"/>
    <s v="OPM-SSTA/XII/2020/0275"/>
    <s v="-"/>
    <m/>
    <m/>
    <m/>
    <m/>
    <s v="543802945748"/>
    <d v="2020-12-16T00:00:00"/>
    <s v="PLN REGULER"/>
    <s v="Commitment New Roll Out 2020 Exp Dec 2020 - SRFI"/>
    <s v="OUTDOOR"/>
    <d v="2020-09-27T00:00:00"/>
    <s v="Urban"/>
    <s v="RTC 1"/>
    <s v="Standard"/>
    <s v="PO/TB/20/N012804"/>
    <n v="99000000"/>
    <n v="30000000"/>
    <n v="69000000"/>
    <x v="10"/>
  </r>
  <r>
    <s v="0030571830031"/>
    <n v="30571830031"/>
    <x v="25"/>
    <s v="JAW-BT-TNG-1452"/>
    <s v="PANDAWA CIBODAS"/>
    <s v="Pandawa Cibodas"/>
    <x v="1"/>
    <s v="-"/>
    <s v="STIP 1"/>
    <s v="XL"/>
    <s v="TB"/>
    <s v="018368/TBG-TB/XL/MKT/01/2020"/>
    <d v="2020-01-14T00:00:00"/>
    <s v="-6.19896"/>
    <s v="106.60524"/>
    <s v="Jl. Rahwana II Ujung, RT.05/RW.02, Kel. Cibodas Baru, Kec. Cibodas, Kota Tangerang Prov. Banten"/>
    <s v="JABODETABEK (INNER)"/>
    <x v="1"/>
    <s v="BANTEN"/>
    <s v="20"/>
    <s v="BAPS"/>
    <s v="BAPS"/>
    <s v="RFI"/>
    <m/>
    <m/>
    <s v="LUCKI DWI PRISTANTO"/>
    <s v="FAZAR GANNY"/>
    <s v="A. RACHMAN"/>
    <s v="LUCKI DWI PRISTANTO"/>
    <s v="FAZAR GANNY"/>
    <s v="M ARIF HELMI"/>
    <s v="SHERLY MAULANA"/>
    <x v="0"/>
    <s v="PT. Banjarpasir Nusa Pratama"/>
    <d v="2020-09-15T09:51:58"/>
    <d v="2020-09-15T19:33:22"/>
    <d v="2020-09-29T00:00:00"/>
    <m/>
    <d v="2021-01-03T00:00:00"/>
    <d v="2020-09-15T10:24:40"/>
    <d v="2020-09-15T10:27:39"/>
    <d v="2020-09-15T10:38:59"/>
    <m/>
    <d v="2020-09-15T10:30:22"/>
    <d v="2020-12-07T00:00:00"/>
    <m/>
    <s v="363"/>
    <d v="2020-10-30T00:00:00"/>
    <d v="2020-09-05T00:00:00"/>
    <d v="2020-12-21T00:00:00"/>
    <d v="2020-12-23T00:00:00"/>
    <d v="2020-12-17T11:25:09"/>
    <s v="2036/TB/BAUF-XL/IX/2020"/>
    <m/>
    <d v="1899-12-31T00:00:00"/>
    <s v="PO/TB/20/N015073"/>
    <d v="2020-10-13T20:37:00"/>
    <m/>
    <m/>
    <m/>
    <m/>
    <m/>
    <d v="2020-11-28T21:17:27"/>
    <d v="2021-01-03T00:00:00"/>
    <d v="2031-01-02T00:00:00"/>
    <d v="2020-01-14T00:00:00"/>
    <d v="2020-09-10T00:00:00"/>
    <d v="2020-09-29T09:11:11"/>
    <d v="2020-09-11T00:00:00"/>
    <d v="2020-09-29T09:11:35"/>
    <m/>
    <m/>
    <s v="POLE           "/>
    <s v="20                  "/>
    <s v="GF                  "/>
    <s v="1"/>
    <d v="2020-09-05T00:00:00"/>
    <d v="2021-02-26T00:00:00"/>
    <d v="2021-02-10T00:00:00"/>
    <m/>
    <s v="RFL"/>
    <d v="2020-09-18T00:00:00"/>
    <s v="OPM-SSTA/XII/2020/0310"/>
    <s v="-"/>
    <m/>
    <m/>
    <m/>
    <m/>
    <s v="566100948068"/>
    <d v="2020-12-07T00:00:00"/>
    <s v="PLN REGULER"/>
    <s v="Commitment New Roll Out 2020 Exp Dec 2020 - SRFI"/>
    <s v="OUTDOOR"/>
    <d v="2020-09-29T00:00:00"/>
    <s v="Sub Urban"/>
    <m/>
    <s v="Standard"/>
    <s v="PO/TB/20/N013770 &amp; PO/TB/20/N013901"/>
    <n v="89000000"/>
    <n v="8500000"/>
    <n v="80500000"/>
    <x v="6"/>
  </r>
  <r>
    <s v="0030571840031"/>
    <n v="30571840031"/>
    <x v="26"/>
    <s v="JAW-JK-KYB-0105"/>
    <s v="JALAN KUBUR ISLAM"/>
    <s v="Jalan Kubur Islam"/>
    <x v="1"/>
    <s v="-"/>
    <s v="STIP 1"/>
    <s v="XL"/>
    <s v="TB"/>
    <s v="018369/TBG-TB/XL/MKT/01/2020"/>
    <d v="2020-01-14T00:00:00"/>
    <s v="-6.23246"/>
    <s v="106.78105"/>
    <s v="Jl. Masjid An nur III RT.011 RW.001 Kel. Grogol Selatan Kec. Kebayoran Lama, Jakarta Selatan"/>
    <s v="JABODETABEK (INNER)"/>
    <x v="8"/>
    <s v="DKI JAKARTA"/>
    <s v="20"/>
    <s v="RFI"/>
    <s v="CME"/>
    <s v="RFI"/>
    <m/>
    <m/>
    <s v="LUCKI DWI PRISTANTO"/>
    <s v="FANDI KURNIAWAN SAPUTRA"/>
    <s v="A. RACHMAN"/>
    <s v="LUCKI DWI PRISTANTO"/>
    <s v="FAZAR GANNY"/>
    <s v="PUSPITO HADIYANTO"/>
    <s v="SHERLY MAULANA"/>
    <x v="1"/>
    <m/>
    <d v="2020-12-30T10:42:46"/>
    <d v="2020-12-30T15:13:12"/>
    <d v="2020-12-31T00:00:00"/>
    <m/>
    <m/>
    <d v="2020-12-30T12:16:34"/>
    <d v="2020-12-30T12:19:34"/>
    <d v="2020-12-30T15:00:00"/>
    <m/>
    <d v="2020-12-30T12:26:24"/>
    <d v="2021-01-04T00:00:00"/>
    <m/>
    <s v="363"/>
    <d v="2020-05-13T00:00:00"/>
    <d v="2021-03-25T00:00:00"/>
    <d v="2021-02-22T00:00:00"/>
    <m/>
    <m/>
    <m/>
    <m/>
    <d v="1899-12-31T00:00:00"/>
    <m/>
    <d v="1899-12-31T00:00:00"/>
    <m/>
    <m/>
    <m/>
    <m/>
    <m/>
    <m/>
    <m/>
    <m/>
    <d v="2020-12-30T00:00:00"/>
    <d v="2020-12-11T00:00:00"/>
    <d v="2020-12-31T16:30:00"/>
    <d v="2020-12-14T00:00:00"/>
    <d v="2020-12-31T16:30:24"/>
    <m/>
    <m/>
    <s v="POLE           "/>
    <s v="20                  "/>
    <s v="GF                  "/>
    <s v="1"/>
    <d v="2021-03-25T00:00:00"/>
    <d v="2020-12-15T22:39:40"/>
    <d v="2020-06-10T00:00:00"/>
    <m/>
    <s v="RFL"/>
    <d v="2020-12-30T00:00:00"/>
    <m/>
    <s v="-"/>
    <m/>
    <m/>
    <m/>
    <m/>
    <s v="545103565214"/>
    <d v="2021-01-04T00:00:00"/>
    <s v="PLN REGULER"/>
    <s v="Commitment New Roll Out 2020 Exp Dec 2020 - SRFI"/>
    <s v="OUTDOOR"/>
    <d v="2020-12-31T00:00:00"/>
    <s v="Sub Urban"/>
    <m/>
    <s v="Lumpsum &amp; Not Fasum"/>
    <m/>
    <m/>
    <m/>
    <m/>
    <x v="2"/>
  </r>
  <r>
    <s v="0030571850031"/>
    <n v="30571850031"/>
    <x v="27"/>
    <s v="JAW-JK-CKG-0665"/>
    <s v="KRAMA YUDHA CAKUNG"/>
    <s v="Krama Yudha Cakung"/>
    <x v="1"/>
    <s v="-"/>
    <s v="STIP 1"/>
    <s v="XL"/>
    <s v="TB"/>
    <s v="018370/TBG-TB/XL/MKT/01/2020"/>
    <d v="2020-01-14T00:00:00"/>
    <s v="-6.17911"/>
    <s v="106.92233"/>
    <s v="Jl. Krama Yudha Rt.006 Rw.005 Kel. Rawa Terate Kec.Cakung Jakarta Timur."/>
    <s v="JABODETABEK (INNER)"/>
    <x v="10"/>
    <s v="DKI JAKARTA"/>
    <s v="20"/>
    <s v="BAPS"/>
    <s v="BAPS"/>
    <s v="RFI"/>
    <m/>
    <m/>
    <s v="LUCKI DWI PRISTANTO"/>
    <s v="FAZAR GANNY"/>
    <s v="A. RACHMAN"/>
    <s v="LUCKI DWI PRISTANTO"/>
    <s v="FAZAR GANNY"/>
    <s v="PUSPITO HADIYANTO"/>
    <s v="SHERLY MAULANA"/>
    <x v="1"/>
    <m/>
    <d v="2020-08-27T17:40:06"/>
    <d v="2020-08-27T18:35:03"/>
    <d v="2020-09-11T00:00:00"/>
    <m/>
    <d v="2020-12-07T00:00:00"/>
    <d v="2020-08-27T18:04:26"/>
    <d v="2020-08-27T18:08:34"/>
    <d v="2020-08-27T18:20:32"/>
    <m/>
    <d v="2020-08-27T18:09:14"/>
    <d v="2020-09-25T00:00:00"/>
    <m/>
    <s v="363"/>
    <d v="2020-09-20T00:00:00"/>
    <d v="2020-09-05T00:00:00"/>
    <d v="2020-11-06T00:00:00"/>
    <d v="2020-11-20T00:00:00"/>
    <d v="2020-11-19T13:58:04"/>
    <s v="1984/TB/BAUF-XL/IX/2020"/>
    <m/>
    <d v="1899-12-31T00:00:00"/>
    <m/>
    <d v="1899-12-31T00:00:00"/>
    <m/>
    <m/>
    <m/>
    <m/>
    <m/>
    <d v="2020-11-10T11:42:20"/>
    <d v="2020-12-07T00:00:00"/>
    <d v="2030-12-06T00:00:00"/>
    <d v="2020-01-14T00:00:00"/>
    <d v="2020-09-11T00:00:00"/>
    <d v="2020-09-11T11:04:41"/>
    <d v="2020-08-14T00:00:00"/>
    <d v="2020-09-11T11:05:15"/>
    <m/>
    <m/>
    <s v="SST            "/>
    <s v="20                  "/>
    <s v="GF                  "/>
    <s v="1"/>
    <d v="2020-09-30T00:00:00"/>
    <d v="2021-02-12T11:04:01"/>
    <d v="2021-02-20T00:00:00"/>
    <m/>
    <s v="RFL"/>
    <d v="2020-08-28T00:00:00"/>
    <s v="OPM-SSTA/XII/2020/0181"/>
    <s v="okey"/>
    <d v="2020-12-22T11:18:42"/>
    <m/>
    <m/>
    <m/>
    <s v="545302748868"/>
    <d v="2020-09-25T00:00:00"/>
    <s v="PLN REGULER"/>
    <s v="Commitment New Roll Out 2020 Exp Dec 2020 - SRFI"/>
    <s v="OUTDOOR"/>
    <d v="2020-09-11T00:00:00"/>
    <s v="Sub Urban"/>
    <m/>
    <s v="Lumpsum &amp; Not Fasum"/>
    <m/>
    <m/>
    <m/>
    <m/>
    <x v="11"/>
  </r>
  <r>
    <s v="0030571880031"/>
    <n v="30571880031"/>
    <x v="28"/>
    <s v="JAW-JK-CKG-0155"/>
    <s v="PULO BUARAN JATINEGARA"/>
    <s v="Pulo Buaran Jatinegara"/>
    <x v="1"/>
    <s v="-"/>
    <s v="STIP 1"/>
    <s v="XL"/>
    <s v="TB"/>
    <s v="018373/TBG-TB/XL/MKT/01/2020"/>
    <d v="2020-01-14T00:00:00"/>
    <s v="-6.204830"/>
    <s v="106.919400"/>
    <s v="Jl. Pulobuaran I (komplek Pergudangan) PT. JIEP RT.004 RW.006 Kel. Jatinegara Kec. Cakung Jakarta Timur"/>
    <s v="JABODETABEK (INNER)"/>
    <x v="10"/>
    <s v="DKI JAKARTA"/>
    <s v="20"/>
    <s v="BAPS"/>
    <s v="BAPS"/>
    <s v="RFI"/>
    <m/>
    <m/>
    <s v="LUCKI DWI PRISTANTO"/>
    <s v="FANDI KURNIAWAN SAPUTRA"/>
    <s v="A. RACHMAN"/>
    <s v="LUCKI DWI PRISTANTO"/>
    <s v="FAZAR GANNY"/>
    <s v="M ARIF HELMI"/>
    <s v="SHERLY MAULANA"/>
    <x v="1"/>
    <m/>
    <d v="2020-09-19T00:57:13"/>
    <d v="2020-09-19T09:05:54"/>
    <d v="2020-09-28T00:00:00"/>
    <m/>
    <d v="2020-12-29T00:00:00"/>
    <d v="2020-09-30T12:41:15"/>
    <d v="2020-09-19T01:04:33"/>
    <m/>
    <m/>
    <d v="2020-09-19T01:06:09"/>
    <d v="2020-10-27T00:00:00"/>
    <m/>
    <s v="363"/>
    <d v="2020-09-20T00:00:00"/>
    <d v="2020-09-05T00:00:00"/>
    <d v="2020-11-20T00:00:00"/>
    <d v="2020-11-20T00:00:00"/>
    <d v="2020-11-18T17:38:36"/>
    <s v="2029/TB/BAUF-XL/IX/2020"/>
    <m/>
    <d v="1899-12-31T00:00:00"/>
    <m/>
    <d v="1899-12-31T00:00:00"/>
    <m/>
    <m/>
    <m/>
    <m/>
    <m/>
    <d v="2020-11-27T10:49:41"/>
    <d v="2020-12-29T00:00:00"/>
    <d v="2030-12-28T00:00:00"/>
    <d v="2020-01-14T00:00:00"/>
    <d v="2020-09-10T00:00:00"/>
    <d v="2020-09-28T10:43:10"/>
    <d v="2020-09-13T00:00:00"/>
    <d v="2020-09-28T10:43:47"/>
    <m/>
    <m/>
    <s v="MP             "/>
    <s v="20                  "/>
    <s v="GF                  "/>
    <s v="1"/>
    <d v="2020-09-30T00:00:00"/>
    <d v="2020-09-23T12:24:21"/>
    <d v="2021-02-20T00:00:00"/>
    <m/>
    <s v="RFL"/>
    <d v="2020-11-27T00:00:00"/>
    <s v="OPM-SSTA/XII/2020/0182"/>
    <s v="okey"/>
    <d v="2020-12-22T11:27:04"/>
    <m/>
    <m/>
    <m/>
    <s v="541301488450"/>
    <d v="2020-10-27T00:00:00"/>
    <s v="PLN REGULER"/>
    <s v="Commitment New Roll Out 2020 Exp Dec 2020 - SRFI"/>
    <s v="OUTDOOR"/>
    <d v="2020-09-28T00:00:00"/>
    <s v="Sub Urban"/>
    <m/>
    <s v="Lumpsum &amp; Not Fasum"/>
    <m/>
    <m/>
    <m/>
    <m/>
    <x v="12"/>
  </r>
  <r>
    <s v="0030571900031"/>
    <n v="30571900031"/>
    <x v="29"/>
    <s v="JAW-JK-GGP-0527"/>
    <s v="JALAN MANGGA UBI"/>
    <s v="Jalan Mangga Ubi"/>
    <x v="1"/>
    <s v="-"/>
    <s v="STIP 1"/>
    <s v="XL"/>
    <s v="TB"/>
    <s v="018375/TBG-TB/XL/MKT/01/2020"/>
    <d v="2020-01-14T00:00:00"/>
    <s v="-6.14610"/>
    <s v="106.75743"/>
    <s v="Jalan mangga ubi RT.6 rw 7 Kel.kapuk kec.cengkareng Jakarta Barat. Dki Jakarta"/>
    <s v="JABODETABEK (INNER)"/>
    <x v="6"/>
    <s v="DKI JAKARTA"/>
    <s v="20"/>
    <s v="BAPS"/>
    <s v="BAPS"/>
    <s v="RFI"/>
    <m/>
    <m/>
    <s v="LUCKI DWI PRISTANTO"/>
    <s v="FAZAR GANNY"/>
    <s v="A. RACHMAN"/>
    <s v="LUCKI DWI PRISTANTO"/>
    <s v="FAZAR GANNY"/>
    <s v="PUSPITO HADIYANTO"/>
    <s v="SHERLY MAULANA"/>
    <x v="1"/>
    <m/>
    <d v="2020-03-23T17:26:01"/>
    <d v="2020-03-23T21:12:07"/>
    <d v="2020-04-16T00:00:00"/>
    <m/>
    <d v="2020-07-16T00:00:00"/>
    <m/>
    <d v="2020-03-23T17:45:21"/>
    <m/>
    <m/>
    <d v="2020-03-23T17:50:26"/>
    <d v="2020-11-26T00:00:00"/>
    <m/>
    <s v="363"/>
    <d v="2020-04-15T00:00:00"/>
    <d v="2020-04-30T00:00:00"/>
    <d v="2020-07-17T00:00:00"/>
    <d v="2020-06-30T00:00:00"/>
    <d v="2020-06-27T12:33:11"/>
    <s v="1784/TB/BAUF-XL/IV/2020"/>
    <m/>
    <d v="1899-12-31T00:00:00"/>
    <m/>
    <d v="1899-12-31T00:00:00"/>
    <m/>
    <m/>
    <m/>
    <m/>
    <m/>
    <d v="2020-06-15T18:07:56"/>
    <d v="2020-07-16T00:00:00"/>
    <d v="2030-07-15T00:00:00"/>
    <d v="2020-01-14T00:00:00"/>
    <d v="2020-03-20T00:00:00"/>
    <d v="2020-04-11T21:57:53"/>
    <d v="2020-03-24T00:00:00"/>
    <d v="2020-04-11T22:01:25"/>
    <m/>
    <m/>
    <s v="MP"/>
    <s v="20"/>
    <s v="GF"/>
    <s v="1"/>
    <d v="2020-08-31T00:00:00"/>
    <m/>
    <d v="2020-09-15T00:00:00"/>
    <d v="2020-12-31T00:00:00"/>
    <s v="RFL"/>
    <d v="2020-04-12T00:00:00"/>
    <s v="OPM-SSTA/IX/2020/0089"/>
    <s v="okey"/>
    <d v="2020-09-30T17:46:23"/>
    <m/>
    <m/>
    <m/>
    <s v="542103703114"/>
    <d v="2020-11-26T00:00:00"/>
    <s v="PLN REGULER"/>
    <s v="Commitment New Roll Out 2020 Exp Dec 2020 - SRFI"/>
    <s v="OUTDOOR"/>
    <d v="2020-04-16T00:00:00"/>
    <s v="Sub Urban"/>
    <m/>
    <s v="Lumpsum &amp; Fasum"/>
    <m/>
    <m/>
    <m/>
    <m/>
    <x v="7"/>
  </r>
  <r>
    <s v="0030571910031"/>
    <n v="30571910031"/>
    <x v="30"/>
    <s v="JAW-BT-TGR-0023"/>
    <s v="DUKUH CUKANGGALIH"/>
    <s v="Dukuh Cukanggalih"/>
    <x v="0"/>
    <s v="-"/>
    <s v="STIP 1"/>
    <s v="XL"/>
    <s v="TB"/>
    <s v="018376/TBG-TB/XL/MKT/01/2020"/>
    <d v="2020-01-14T00:00:00"/>
    <s v="-6.243058"/>
    <s v="106.543347"/>
    <s v="Kp. Ranca Balok RT 08 RW 013 Desa Cukanggalih Kecamatan Curug Kabupaten Tangerang"/>
    <s v="JABODETABEK (OUTER)"/>
    <x v="2"/>
    <s v="BANTEN"/>
    <s v="42"/>
    <s v="BAPS"/>
    <s v="BAPS"/>
    <s v="RFI"/>
    <m/>
    <m/>
    <s v="LUCKI DWI PRISTANTO"/>
    <s v="FANDI KURNIAWAN SAPUTRA"/>
    <s v="A. RACHMAN"/>
    <s v="LUCKI DWI PRISTANTO"/>
    <s v="FAZAR GANNY"/>
    <s v="M ARIF HELMI"/>
    <s v="SHERLY MAULANA"/>
    <x v="0"/>
    <s v="PT. Banjarpasir Nusa Pratama"/>
    <d v="2020-06-03T21:34:41"/>
    <d v="2020-06-06T20:37:43"/>
    <d v="2020-06-30T00:00:00"/>
    <m/>
    <d v="2020-09-30T00:00:00"/>
    <d v="2020-06-03T22:46:46"/>
    <d v="2020-06-03T23:04:03"/>
    <d v="2020-06-04T08:03:01"/>
    <m/>
    <d v="2020-06-04T08:03:36"/>
    <d v="2020-12-08T00:00:00"/>
    <m/>
    <s v="363"/>
    <d v="2020-06-28T00:00:00"/>
    <d v="2020-06-06T00:00:00"/>
    <d v="2020-09-25T00:00:00"/>
    <d v="2020-09-24T00:00:00"/>
    <d v="2020-09-21T18:59:29"/>
    <s v="1866/TB/BAUF-XL/VI/2020"/>
    <m/>
    <d v="2020-06-10T15:48:00"/>
    <s v="PO/TB/20/N010279"/>
    <d v="2020-07-12T19:45:00"/>
    <m/>
    <m/>
    <m/>
    <m/>
    <m/>
    <d v="2020-08-29T18:12:37"/>
    <d v="2020-09-30T00:00:00"/>
    <d v="2030-09-29T00:00:00"/>
    <d v="2020-01-14T00:00:00"/>
    <d v="2020-06-06T00:00:00"/>
    <d v="2020-06-07T22:55:46"/>
    <d v="2020-06-16T00:00:00"/>
    <d v="2020-06-17T21:13:31"/>
    <m/>
    <m/>
    <s v="SST            "/>
    <s v="42                  "/>
    <s v="GF                  "/>
    <s v="1"/>
    <d v="2020-06-30T00:00:00"/>
    <d v="2020-11-30T00:00:00"/>
    <d v="2020-09-15T00:00:00"/>
    <m/>
    <s v="RFL"/>
    <d v="2020-06-08T00:00:00"/>
    <s v="OPM-SSTA/VII/2020/0108"/>
    <s v="Oke"/>
    <d v="2020-07-15T12:21:50"/>
    <m/>
    <m/>
    <m/>
    <s v="566201554597"/>
    <d v="2020-12-08T00:00:00"/>
    <s v="PLN REGULER"/>
    <s v="Commitment New Roll Out 2020 Exp Dec 2020 - SRFI"/>
    <s v="OUTDOOR"/>
    <d v="2020-06-30T00:00:00"/>
    <s v="Sub Urban"/>
    <s v="RTC 1"/>
    <s v="Standard"/>
    <s v="PO/TB/20/N008418"/>
    <n v="88500000"/>
    <n v="13000000"/>
    <n v="75500000"/>
    <x v="2"/>
  </r>
  <r>
    <s v="0030571920031"/>
    <n v="30571920031"/>
    <x v="31"/>
    <s v="JAW-JK-TJP-0615"/>
    <s v="GANG MERPATI KEBANTENAN"/>
    <s v="Gang Merpati Kebantenan"/>
    <x v="1"/>
    <s v="-"/>
    <s v="STIP 1"/>
    <s v="XL"/>
    <s v="TB"/>
    <s v="018377/TBG-TB/XL/MKT/01/2020"/>
    <d v="2020-01-14T00:00:00"/>
    <s v="-6.11129"/>
    <s v="106.92563"/>
    <s v="Jl.kebantenan  RT.001, RW 02, Kel. Semper timur Kec. cilincing Jakarta Utara"/>
    <s v="JABODETABEK (INNER)"/>
    <x v="7"/>
    <s v="DKI JAKARTA"/>
    <s v="20"/>
    <s v="BAPS"/>
    <s v="BAPS"/>
    <s v="RFI"/>
    <m/>
    <m/>
    <s v="LUCKI DWI PRISTANTO"/>
    <s v="FAZAR GANNY"/>
    <s v="A. RACHMAN"/>
    <s v="LUCKI DWI PRISTANTO"/>
    <s v="FAZAR GANNY"/>
    <s v="PUSPITO HADIYANTO"/>
    <s v="SHERLY MAULANA"/>
    <x v="1"/>
    <m/>
    <d v="2020-02-27T18:57:43"/>
    <d v="2020-02-27T20:12:25"/>
    <d v="2020-04-16T00:00:00"/>
    <m/>
    <d v="2020-07-15T00:00:00"/>
    <m/>
    <d v="2020-02-27T19:00:43"/>
    <m/>
    <m/>
    <d v="2020-02-27T19:01:28"/>
    <d v="2020-06-30T00:00:00"/>
    <m/>
    <s v="363"/>
    <d v="2020-04-15T00:00:00"/>
    <d v="2020-02-20T00:00:00"/>
    <d v="2020-07-17T00:00:00"/>
    <d v="2020-06-30T00:00:00"/>
    <d v="2020-06-27T13:08:18"/>
    <s v="1787/TB/BAUF-XL/IV/2020"/>
    <m/>
    <d v="1899-12-31T00:00:00"/>
    <m/>
    <d v="1899-12-31T00:00:00"/>
    <m/>
    <m/>
    <m/>
    <m/>
    <m/>
    <d v="2020-06-15T18:08:02"/>
    <d v="2020-07-15T00:00:00"/>
    <d v="2030-07-14T00:00:00"/>
    <d v="2020-01-14T00:00:00"/>
    <d v="2020-03-29T00:00:00"/>
    <d v="2020-04-11T21:50:02"/>
    <d v="2020-04-06T00:00:00"/>
    <d v="2020-04-11T21:50:26"/>
    <m/>
    <m/>
    <s v="MP"/>
    <s v="20"/>
    <s v="GF"/>
    <s v="1"/>
    <d v="2020-07-31T00:00:00"/>
    <m/>
    <d v="2020-09-15T00:00:00"/>
    <m/>
    <s v="RFL"/>
    <d v="2020-04-12T00:00:00"/>
    <s v="OPM-SSTA/VIII/2020/0035"/>
    <s v="OK sesuai hasil cek AFO &amp; OME"/>
    <d v="2020-08-26T13:30:05"/>
    <m/>
    <m/>
    <m/>
    <s v="545302712469"/>
    <d v="2020-06-30T00:00:00"/>
    <s v="PLN REGULER"/>
    <s v="Commitment New Roll Out 2020 Exp Dec 2020 - SRFI"/>
    <s v="OUTDOOR"/>
    <d v="2020-04-16T00:00:00"/>
    <s v="Sub Urban"/>
    <m/>
    <s v="Lumpsum &amp; Fasum"/>
    <m/>
    <m/>
    <m/>
    <m/>
    <x v="7"/>
  </r>
  <r>
    <s v="0030571960031"/>
    <n v="30571960031"/>
    <x v="32"/>
    <s v="JAW-JK-TJP-0617"/>
    <s v="INSPEKSI SUKAPURA"/>
    <s v="Inspeksi Sukapura"/>
    <x v="1"/>
    <s v="-"/>
    <s v="STIP 1"/>
    <s v="XL"/>
    <s v="TB"/>
    <s v="018381/TBG-TB/XL/MKT/01/2020"/>
    <d v="2020-01-14T00:00:00"/>
    <s v="-6.15156"/>
    <s v="106.9391"/>
    <s v="Jl. Pal 2 Rt.004 Rw.003, Kel. Sukapura, Cilincing Jakarta"/>
    <s v="JABODETABEK (INNER)"/>
    <x v="7"/>
    <s v="DKI JAKARTA"/>
    <s v="25"/>
    <s v="BAPS"/>
    <s v="BAPS"/>
    <s v="RFI"/>
    <m/>
    <m/>
    <s v="LUCKI DWI PRISTANTO"/>
    <s v="FAZAR GANNY"/>
    <s v="A. RACHMAN"/>
    <s v="LUCKI DWI PRISTANTO"/>
    <s v="FAZAR GANNY"/>
    <s v="PUSPITO HADIYANTO"/>
    <s v="SHERLY MAULANA"/>
    <x v="1"/>
    <m/>
    <d v="2020-06-26T09:04:28"/>
    <d v="2020-06-27T08:20:20"/>
    <d v="2020-07-24T00:00:00"/>
    <m/>
    <d v="2020-08-29T00:00:00"/>
    <m/>
    <d v="2020-06-26T09:08:22"/>
    <m/>
    <m/>
    <d v="2020-06-26T09:09:12"/>
    <d v="2020-08-18T00:00:00"/>
    <m/>
    <s v="363"/>
    <d v="2020-07-24T00:00:00"/>
    <d v="2020-08-03T00:00:00"/>
    <d v="2020-11-04T00:00:00"/>
    <d v="2020-11-20T00:00:00"/>
    <d v="2020-11-18T11:18:38"/>
    <s v="1916/TB/BAUF-XL/VII/2020"/>
    <m/>
    <d v="1899-12-31T00:00:00"/>
    <m/>
    <d v="1899-12-31T00:00:00"/>
    <m/>
    <m/>
    <m/>
    <m/>
    <m/>
    <d v="2020-09-22T22:02:48"/>
    <d v="2020-08-29T00:00:00"/>
    <d v="2030-08-28T00:00:00"/>
    <d v="2020-01-14T00:00:00"/>
    <d v="2020-07-10T00:00:00"/>
    <d v="2020-07-23T23:29:44"/>
    <d v="2020-07-15T00:00:00"/>
    <d v="2020-07-23T23:34:08"/>
    <m/>
    <m/>
    <s v="MP             "/>
    <s v="25                  "/>
    <s v="GF                  "/>
    <s v="1"/>
    <d v="2020-08-25T00:00:00"/>
    <d v="2020-12-12T07:13:42"/>
    <d v="2020-11-20T00:00:00"/>
    <m/>
    <s v="RFL"/>
    <d v="2020-06-27T00:00:00"/>
    <s v="OPM-SSTA/X/2020/0007"/>
    <s v="okey"/>
    <d v="2020-11-27T11:09:03"/>
    <m/>
    <m/>
    <m/>
    <s v="545302733444"/>
    <d v="2020-08-18T00:00:00"/>
    <s v="PLN REGULER"/>
    <s v="Commitment New Roll Out 2020 Exp Dec 2020 - SRFI"/>
    <s v="OUTDOOR"/>
    <d v="2020-07-24T00:00:00"/>
    <s v="Sub Urban"/>
    <m/>
    <s v="Lumpsum &amp; Fasum"/>
    <m/>
    <m/>
    <m/>
    <m/>
    <x v="7"/>
  </r>
  <r>
    <s v="0030571970031"/>
    <n v="30571970031"/>
    <x v="33"/>
    <s v="JAW-JK-GGP-0529"/>
    <s v="PEGADUNGAN TEGAL ALUR"/>
    <s v="Pegadungan Tegal Alur"/>
    <x v="1"/>
    <s v="-"/>
    <s v="STIP 1"/>
    <s v="XL"/>
    <s v="TB"/>
    <s v="018382/TBG-TB/XL/MKT/01/2020"/>
    <d v="2020-01-14T00:00:00"/>
    <s v="-6.11627"/>
    <s v="106.70492"/>
    <s v="Jalan Prepedan Dalam RT. 006 / RW. 009Kel. Kelurahan Kamal Kec. Kali Deres - Jakarta Barat"/>
    <s v="JABODETABEK (INNER)"/>
    <x v="6"/>
    <s v="DKI JAKARTA"/>
    <s v="25"/>
    <s v="BAPS"/>
    <s v="BAPS"/>
    <s v="RFI"/>
    <m/>
    <m/>
    <s v="LUCKI DWI PRISTANTO"/>
    <s v="FAZAR GANNY"/>
    <s v="A. RACHMAN"/>
    <s v="LUCKI DWI PRISTANTO"/>
    <s v="FAZAR GANNY"/>
    <s v="M ARIF HELMI"/>
    <s v="SHERLY MAULANA"/>
    <x v="1"/>
    <m/>
    <d v="2020-06-21T01:18:54"/>
    <d v="2020-06-28T21:14:47"/>
    <d v="2020-06-29T00:00:00"/>
    <m/>
    <d v="2020-08-06T00:00:00"/>
    <d v="2020-06-21T01:48:58"/>
    <d v="2020-06-21T20:51:20"/>
    <d v="2020-06-21T21:07:19"/>
    <m/>
    <d v="2020-06-21T20:52:11"/>
    <d v="2020-07-28T00:00:00"/>
    <m/>
    <s v="363"/>
    <d v="2020-07-08T00:00:00"/>
    <d v="2020-06-18T00:00:00"/>
    <d v="2020-09-25T00:00:00"/>
    <d v="2020-09-24T00:00:00"/>
    <d v="2020-09-21T18:50:14"/>
    <s v="1877/TB/BAUF-XL/VI/2020"/>
    <m/>
    <d v="1899-12-31T00:00:00"/>
    <m/>
    <d v="1899-12-31T00:00:00"/>
    <m/>
    <m/>
    <m/>
    <m/>
    <m/>
    <d v="2020-08-28T17:54:52"/>
    <d v="2020-08-06T00:00:00"/>
    <d v="2030-08-05T00:00:00"/>
    <d v="2020-01-14T00:00:00"/>
    <d v="2020-06-13T00:00:00"/>
    <d v="2020-06-28T22:42:13"/>
    <d v="2020-06-17T00:00:00"/>
    <d v="2020-06-28T22:45:53"/>
    <m/>
    <m/>
    <s v="MP             "/>
    <s v="25                  "/>
    <s v="GF                  "/>
    <s v="1"/>
    <d v="2020-06-30T00:00:00"/>
    <d v="2020-12-07T09:00:00"/>
    <d v="2021-01-15T00:00:00"/>
    <m/>
    <s v="RFL"/>
    <d v="2020-06-22T00:00:00"/>
    <s v="OPM-SSTA/XII/2020/0172"/>
    <s v="OK - SESUAI HASIL CEK AFO &amp; OME"/>
    <d v="2021-01-07T12:02:54"/>
    <m/>
    <m/>
    <m/>
    <s v="546303095490"/>
    <d v="2020-07-28T00:00:00"/>
    <s v="PLN REGULER"/>
    <s v="Commitment New Roll Out 2020 Exp Dec 2020 - SRFI"/>
    <s v="OUTDOOR"/>
    <d v="2020-06-29T00:00:00"/>
    <s v="Sub Urban"/>
    <m/>
    <s v="Lumpsum &amp; Not Fasum"/>
    <m/>
    <m/>
    <m/>
    <m/>
    <x v="5"/>
  </r>
  <r>
    <s v="0030571980031"/>
    <n v="30571980031"/>
    <x v="34"/>
    <s v="JAW-JK-KYB-0027"/>
    <s v="SABAR RAYA KEMAJUAN"/>
    <s v="Sabar Raya Kemajuan"/>
    <x v="1"/>
    <s v="-"/>
    <s v="STIP 1"/>
    <s v="XL"/>
    <s v="TB"/>
    <s v="018383/TBG-TB/XL/MKT/01/2020"/>
    <d v="2020-01-14T00:00:00"/>
    <s v="-6.24077"/>
    <s v="106.75289"/>
    <s v="Jl.Sabar II No.43 RT.07 RW.04 Kel.Petukangan Selatan, Kec.Pesanggrahan, Jakarta Selatan"/>
    <s v="JABODETABEK (INNER)"/>
    <x v="8"/>
    <s v="DKI JAKARTA"/>
    <s v="20"/>
    <s v="BAPS"/>
    <s v="BAPS"/>
    <s v="RFI"/>
    <m/>
    <m/>
    <s v="LUCKI DWI PRISTANTO"/>
    <s v="FAZAR GANNY"/>
    <s v="A. RACHMAN"/>
    <s v="LUCKI DWI PRISTANTO"/>
    <s v="FAZAR GANNY"/>
    <s v="PUSPITO HADIYANTO"/>
    <s v="SHERLY MAULANA"/>
    <x v="1"/>
    <m/>
    <d v="2020-05-16T04:21:58"/>
    <d v="2020-05-17T14:16:59"/>
    <d v="2020-06-28T00:00:00"/>
    <m/>
    <d v="2020-08-18T00:00:00"/>
    <d v="2020-05-16T14:10:41"/>
    <d v="2020-05-16T17:23:29"/>
    <d v="2020-05-17T14:13:07"/>
    <m/>
    <d v="2020-05-16T17:24:12"/>
    <d v="2020-07-21T00:00:00"/>
    <m/>
    <s v="363"/>
    <d v="2020-06-15T00:00:00"/>
    <d v="2020-05-15T00:00:00"/>
    <d v="2020-09-30T00:00:00"/>
    <d v="2020-09-30T00:00:00"/>
    <d v="2020-07-27T20:51:13"/>
    <s v="1876/TB/BAUF-XL/VI/2020"/>
    <m/>
    <d v="1899-12-31T00:00:00"/>
    <m/>
    <d v="1899-12-31T00:00:00"/>
    <m/>
    <m/>
    <m/>
    <m/>
    <m/>
    <d v="2020-08-27T06:27:51"/>
    <d v="2020-08-18T00:00:00"/>
    <d v="2030-08-17T00:00:00"/>
    <d v="2020-01-14T00:00:00"/>
    <d v="2020-05-15T00:00:00"/>
    <d v="2020-06-26T23:01:26"/>
    <d v="2020-05-16T00:00:00"/>
    <d v="2020-06-26T23:03:19"/>
    <m/>
    <m/>
    <s v="MP             "/>
    <s v="20                  "/>
    <s v="GF                  "/>
    <s v="1"/>
    <d v="2020-05-29T00:00:00"/>
    <m/>
    <d v="2020-11-27T00:00:00"/>
    <m/>
    <s v="RFL"/>
    <d v="2020-05-20T00:00:00"/>
    <s v="OPM-SSTA/X/2020/0240"/>
    <s v="OK sesuai hasil cek AFO &amp; OME"/>
    <d v="2020-10-28T12:48:07"/>
    <m/>
    <m/>
    <m/>
    <s v="543802871087"/>
    <d v="2020-07-21T00:00:00"/>
    <s v="PLN REGULER"/>
    <s v="Commitment New Roll Out 2020 Exp Dec 2020 - SRFI"/>
    <s v="OUTDOOR"/>
    <d v="2020-06-27T00:00:00"/>
    <s v="Sub Urban"/>
    <m/>
    <s v="Lumpsum &amp; Not Fasum"/>
    <m/>
    <m/>
    <m/>
    <m/>
    <x v="6"/>
  </r>
  <r>
    <s v="0030571990031"/>
    <n v="30571990031"/>
    <x v="35"/>
    <s v="JAW-BT-TNG-1450"/>
    <s v="KEDAUNG BARU TANGERANG"/>
    <s v="Kedaung Baru Tangerang"/>
    <x v="0"/>
    <s v="-"/>
    <s v="STIP 1"/>
    <s v="XL"/>
    <s v="TB"/>
    <s v="018384/TBG-TB/XL/MKT/01/2020"/>
    <d v="2020-01-14T00:00:00"/>
    <s v="-6.12976"/>
    <s v="106.61312"/>
    <s v="Kp. Pulo Indah, RT 06, RW 01, Desa Kedaung Barat, Kecamatan Sepatan Timur, Kabupaten Tangerang, Provinsi Banten"/>
    <s v="JABODETABEK (OUTER)"/>
    <x v="2"/>
    <s v="BANTEN"/>
    <s v="36"/>
    <s v="BAPS"/>
    <s v="BAPS"/>
    <s v="RFI"/>
    <m/>
    <m/>
    <s v="LUCKI DWI PRISTANTO"/>
    <s v="FANDI KURNIAWAN SAPUTRA"/>
    <s v="A. RACHMAN"/>
    <s v="LUCKI DWI PRISTANTO"/>
    <s v="FAZAR GANNY"/>
    <s v="M ARIF HELMI"/>
    <s v="SHERLY MAULANA"/>
    <x v="3"/>
    <s v="PT. ARENAS ADI PERKASA"/>
    <d v="2020-08-13T18:26:02"/>
    <d v="2020-08-30T14:44:36"/>
    <d v="2020-09-29T00:00:00"/>
    <m/>
    <d v="2020-12-29T00:00:00"/>
    <d v="2020-09-30T11:11:44"/>
    <d v="2020-08-28T11:54:26"/>
    <d v="2020-08-28T21:33:20"/>
    <m/>
    <d v="2020-08-30T07:22:58"/>
    <d v="2020-09-24T00:00:00"/>
    <m/>
    <s v="363"/>
    <d v="2020-09-30T00:00:00"/>
    <d v="2020-09-05T00:00:00"/>
    <d v="2020-12-21T00:00:00"/>
    <d v="2020-12-18T00:00:00"/>
    <d v="2020-12-15T20:19:28"/>
    <s v="2035/TB/BAUF-XL/IX/2020"/>
    <m/>
    <d v="2020-09-29T13:14:00"/>
    <s v="PO/TB/20/N014000"/>
    <d v="2020-09-28T08:23:00"/>
    <m/>
    <m/>
    <m/>
    <m/>
    <m/>
    <d v="2020-11-28T14:47:08"/>
    <d v="2020-12-29T00:00:00"/>
    <d v="2030-12-28T00:00:00"/>
    <d v="2020-01-14T00:00:00"/>
    <d v="2020-08-07T00:00:00"/>
    <d v="2020-09-01T09:58:43"/>
    <d v="2020-08-27T00:00:00"/>
    <d v="2020-09-11T14:50:18"/>
    <d v="2020-12-04T00:00:00"/>
    <d v="1899-12-31T00:00:00"/>
    <s v="SST"/>
    <s v="36"/>
    <s v="GF"/>
    <s v="1"/>
    <d v="2020-09-05T00:00:00"/>
    <d v="2020-11-30T00:00:00"/>
    <d v="2021-02-20T00:00:00"/>
    <m/>
    <s v="RFL"/>
    <d v="2020-08-31T00:00:00"/>
    <s v="OPM-SSTA/XII/2020/0021"/>
    <s v="Oke"/>
    <d v="2020-12-16T14:23:27"/>
    <m/>
    <m/>
    <m/>
    <s v="566601657125"/>
    <d v="2020-09-24T00:00:00"/>
    <s v="PLN REGULER"/>
    <s v="Commitment New Roll Out 2020 Exp Dec 2020 - SRFI"/>
    <s v="OUTDOOR"/>
    <d v="2020-09-29T14:47:08"/>
    <s v="Urban"/>
    <s v="RTC 2 B"/>
    <s v="Standard"/>
    <s v="PO/TB/20/N014090"/>
    <n v="98000000"/>
    <n v="21500000"/>
    <n v="76500000"/>
    <x v="0"/>
  </r>
  <r>
    <s v="0030572000031"/>
    <n v="30572000031"/>
    <x v="36"/>
    <s v="JAW-BT-TGR-0021"/>
    <s v="MEKAR WANGI TANGERANG"/>
    <s v="Mekar Wangi Tangerang"/>
    <x v="0"/>
    <s v="-"/>
    <s v="STIP 1"/>
    <s v="XL"/>
    <s v="TB"/>
    <s v="018385/TBG-TB/XL/MKT/01/2020"/>
    <d v="2020-01-14T00:00:00"/>
    <s v="-6.34632"/>
    <s v="106.59064"/>
    <s v="Kp.Panyirapan 008/004 Desa Mekarwangi Kec. Cisauk"/>
    <s v="JABODETABEK (OUTER)"/>
    <x v="2"/>
    <s v="BANTEN"/>
    <s v="42"/>
    <s v="BAPS"/>
    <s v="BAPS"/>
    <s v="RFI"/>
    <m/>
    <m/>
    <s v="LUCKI DWI PRISTANTO"/>
    <s v="FANDI KURNIAWAN SAPUTRA"/>
    <s v="A. RACHMAN"/>
    <s v="LUCKI DWI PRISTANTO"/>
    <s v="FAZAR GANNY"/>
    <s v="M ARIF HELMI"/>
    <s v="SHERLY MAULANA"/>
    <x v="3"/>
    <s v="PT. ARENAS ADI PERKASA"/>
    <d v="2020-02-17T08:53:23"/>
    <d v="2020-02-28T11:13:52"/>
    <d v="2020-04-16T00:00:00"/>
    <m/>
    <d v="2020-05-22T00:00:00"/>
    <d v="2020-02-26T16:48:16"/>
    <d v="2020-02-27T13:42:18"/>
    <d v="2020-02-28T11:09:40"/>
    <m/>
    <d v="2020-02-28T10:15:16"/>
    <d v="2020-05-18T00:00:00"/>
    <m/>
    <s v="363"/>
    <d v="2020-04-17T00:00:00"/>
    <d v="2020-03-20T00:00:00"/>
    <d v="2020-07-17T00:00:00"/>
    <d v="2020-06-29T00:00:00"/>
    <d v="2020-06-23T14:04:05"/>
    <s v="1785/TB/BAUF-XL/IV/2020"/>
    <m/>
    <d v="2020-04-07T17:09:00"/>
    <s v="PO/TB/20/N006460"/>
    <d v="2020-05-02T21:56:00"/>
    <m/>
    <m/>
    <m/>
    <m/>
    <m/>
    <d v="2020-06-15T09:58:21"/>
    <d v="2020-05-22T00:00:00"/>
    <d v="2030-05-21T00:00:00"/>
    <d v="2020-01-14T00:00:00"/>
    <d v="2020-03-05T00:00:00"/>
    <d v="2020-03-19T11:02:27"/>
    <d v="2020-03-05T00:00:00"/>
    <d v="2020-03-19T13:29:41"/>
    <d v="2020-07-22T00:00:00"/>
    <d v="2020-11-17T00:00:00"/>
    <s v="SST"/>
    <s v="42"/>
    <s v="GF"/>
    <s v="1"/>
    <d v="2020-07-31T00:00:00"/>
    <d v="2020-10-30T00:00:00"/>
    <d v="2020-06-28T00:00:00"/>
    <m/>
    <s v="RFL"/>
    <d v="2020-02-29T00:00:00"/>
    <s v="OPM-SSTA/VI/2020/0080"/>
    <s v="Oke"/>
    <d v="2020-06-28T10:26:34"/>
    <m/>
    <m/>
    <m/>
    <s v="566201406819"/>
    <d v="2020-05-18T00:00:00"/>
    <s v="PLN REGULER"/>
    <s v="Commitment New Roll Out 2020 Exp Dec 2020 - SRFI"/>
    <s v="OUTDOOR"/>
    <d v="2020-04-16T00:00:00"/>
    <s v="Urban"/>
    <s v="RTC 1"/>
    <s v="Standard"/>
    <s v="PO/TB/20/N005052"/>
    <n v="78000000"/>
    <n v="7500000"/>
    <n v="70500000"/>
    <x v="2"/>
  </r>
  <r>
    <s v="0030572020031"/>
    <n v="30572020031"/>
    <x v="37"/>
    <s v="JAW-BT-TGR-0029"/>
    <s v="KARET SEPATAN TANGERANG"/>
    <s v="Karet Sepatan Tangerang"/>
    <x v="0"/>
    <s v="-"/>
    <s v="STIP 1"/>
    <s v="XL"/>
    <s v="TB"/>
    <s v="018387/TBG-TB/XL/MKT/01/2020"/>
    <d v="2020-01-14T00:00:00"/>
    <s v="-6.14597"/>
    <s v="106.58114"/>
    <s v="Kp. Karet RT 02 Rw 03 Desa Karet Kecamatan Sepatan  Kabupaten Tangerang - Banten."/>
    <s v="JABODETABEK (OUTER)"/>
    <x v="2"/>
    <s v="BANTEN"/>
    <s v="42"/>
    <s v="BAPS"/>
    <s v="BAPS"/>
    <s v="RFI"/>
    <m/>
    <m/>
    <s v="LUCKI DWI PRISTANTO"/>
    <s v="FANDI KURNIAWAN SAPUTRA"/>
    <s v="A. RACHMAN"/>
    <s v="LUCKI DWI PRISTANTO"/>
    <s v="FAZAR GANNY"/>
    <s v="M ARIF HELMI"/>
    <s v="SHERLY MAULANA"/>
    <x v="0"/>
    <s v="PT. Banjarpasir Nusa Pratama"/>
    <d v="2020-04-04T14:37:34"/>
    <d v="2020-05-17T10:47:57"/>
    <d v="2020-06-25T00:00:00"/>
    <m/>
    <d v="2020-08-07T00:00:00"/>
    <d v="2020-05-14T17:31:52"/>
    <d v="2020-05-15T11:22:39"/>
    <d v="2020-05-16T12:19:22"/>
    <m/>
    <d v="2020-05-16T12:19:45"/>
    <d v="2020-07-15T00:00:00"/>
    <m/>
    <s v="363"/>
    <d v="2020-06-24T00:00:00"/>
    <d v="2020-05-15T00:00:00"/>
    <d v="2020-09-21T00:00:00"/>
    <d v="2020-09-09T00:00:00"/>
    <d v="2020-08-26T14:46:41"/>
    <s v="1874/TB/BAUF-XL/VI/2020"/>
    <m/>
    <d v="2020-05-18T20:14:00"/>
    <s v="PO/TB/20/N008134"/>
    <d v="2020-06-04T21:04:00"/>
    <m/>
    <m/>
    <m/>
    <m/>
    <m/>
    <d v="2020-08-24T21:09:27"/>
    <d v="2020-08-07T00:00:00"/>
    <d v="2030-08-06T00:00:00"/>
    <d v="2020-01-14T00:00:00"/>
    <d v="2020-05-28T00:00:00"/>
    <d v="2020-06-04T00:04:23"/>
    <d v="2020-06-08T00:00:00"/>
    <d v="2020-06-18T07:18:49"/>
    <d v="2020-09-14T00:00:00"/>
    <d v="2020-05-19T00:00:00"/>
    <s v="SST            "/>
    <s v="42                  "/>
    <s v="GF                  "/>
    <s v="1"/>
    <d v="2020-05-29T00:00:00"/>
    <d v="2020-12-31T00:00:00"/>
    <d v="2020-09-15T00:00:00"/>
    <m/>
    <s v="RFL"/>
    <d v="2020-05-18T00:00:00"/>
    <s v="OPM-SSTA/VII/2020/0064"/>
    <s v="Oke"/>
    <d v="2020-07-15T12:21:27"/>
    <m/>
    <m/>
    <m/>
    <s v="566601592387"/>
    <d v="2020-07-15T00:00:00"/>
    <s v="PLN REGULER"/>
    <s v="Commitment New Roll Out 2020 Exp Dec 2020 - SRFI"/>
    <s v="OUTDOOR"/>
    <d v="2020-06-25T00:00:00"/>
    <s v="Sub Urban"/>
    <s v="RTC 1"/>
    <s v="Standard"/>
    <s v="PO/TB/20/N007407"/>
    <n v="88000000"/>
    <n v="11000000"/>
    <n v="77000000"/>
    <x v="2"/>
  </r>
  <r>
    <s v="0030572040031"/>
    <n v="30572040031"/>
    <x v="38"/>
    <s v="JAW-BT-TGR-0030"/>
    <s v="JALAN RAYA KUKUN DAUN"/>
    <s v="Jalan Raya Kukun Daun"/>
    <x v="0"/>
    <s v="-"/>
    <s v="STIP 1"/>
    <s v="XL"/>
    <s v="TB"/>
    <s v="018389/TBG-TB/XL/MKT/01/2020"/>
    <d v="2020-01-14T00:00:00"/>
    <s v="-6.14596"/>
    <s v="106.44588"/>
    <s v="Kp.Tegal Murni RT 001 RW 002 Desa Benda Kecamatan Sukamulya Kabupaten Tangerang - Banten"/>
    <s v="JABODETABEK (OUTER)"/>
    <x v="2"/>
    <s v="BANTEN"/>
    <s v="52"/>
    <s v="BAPS"/>
    <s v="BAPS"/>
    <s v="RFI"/>
    <m/>
    <m/>
    <s v="LUCKI DWI PRISTANTO"/>
    <s v="FAZAR GANNY"/>
    <s v="A. RACHMAN"/>
    <s v="LUCKI DWI PRISTANTO"/>
    <s v="FAZAR GANNY"/>
    <s v="M ARIF HELMI"/>
    <s v="SHERLY MAULANA"/>
    <x v="0"/>
    <s v="PT. Banjarpasir Nusa Pratama"/>
    <d v="2020-02-10T11:41:21"/>
    <d v="2020-02-19T11:15:15"/>
    <d v="2020-03-29T00:00:00"/>
    <m/>
    <d v="2020-06-29T00:00:00"/>
    <d v="2020-02-12T21:51:04"/>
    <d v="2020-02-13T11:09:45"/>
    <d v="2020-02-13T13:48:14"/>
    <m/>
    <d v="2020-02-17T09:40:37"/>
    <d v="2020-06-25T00:00:00"/>
    <m/>
    <s v="363"/>
    <d v="2020-03-27T00:00:00"/>
    <d v="2020-02-20T00:00:00"/>
    <d v="2020-06-29T00:00:00"/>
    <d v="2020-06-29T00:00:00"/>
    <d v="2020-06-23T13:44:13"/>
    <s v="1793/TB/BAUF-XL/III/2020"/>
    <m/>
    <d v="2020-02-25T16:48:00"/>
    <s v="PO/TB/20/N005351"/>
    <d v="2020-04-13T17:09:00"/>
    <m/>
    <m/>
    <m/>
    <m/>
    <m/>
    <d v="2020-05-28T16:15:51"/>
    <d v="2020-06-29T00:00:00"/>
    <d v="2030-06-28T00:00:00"/>
    <d v="2020-01-14T00:00:00"/>
    <d v="2020-02-22T00:00:00"/>
    <d v="2020-03-18T17:47:09"/>
    <d v="2020-03-01T00:00:00"/>
    <d v="2020-03-19T17:06:54"/>
    <d v="2020-07-30T00:00:00"/>
    <d v="2020-03-30T00:00:00"/>
    <s v="SST"/>
    <s v="52"/>
    <s v="GF"/>
    <s v="1"/>
    <d v="2020-03-06T00:00:00"/>
    <d v="2020-08-31T00:00:00"/>
    <d v="2020-07-20T00:00:00"/>
    <m/>
    <s v="RFL"/>
    <d v="2020-02-26T00:00:00"/>
    <s v="OPM-SSTA/V/2020/0013"/>
    <s v="Oke"/>
    <d v="2020-05-15T13:08:15"/>
    <m/>
    <m/>
    <m/>
    <s v="566401509462"/>
    <d v="2020-06-25T00:00:00"/>
    <s v="PLN REGULER"/>
    <s v="Commitment New Roll Out 2020 Exp Dec 2020 - SRFI"/>
    <s v="OUTDOOR"/>
    <d v="2020-03-27T00:00:00"/>
    <s v="Sub Urban"/>
    <s v="RTC 1"/>
    <s v="Standard"/>
    <s v="PO/TB/20/N002344"/>
    <n v="82000000"/>
    <n v="7500000"/>
    <n v="74500000"/>
    <x v="2"/>
  </r>
  <r>
    <s v="0030572050031"/>
    <n v="30572050031"/>
    <x v="39"/>
    <s v="JAW-JK-TJP-0626"/>
    <s v="KEBON BAWANG TANJUNG PRIOK"/>
    <s v="Kebon Bawang Tanjung Priok"/>
    <x v="1"/>
    <s v="-"/>
    <s v="STIP 1"/>
    <s v="XL"/>
    <s v="TB"/>
    <s v="018390/TBG-TB/XL/MKT/01/2020"/>
    <d v="2020-01-14T00:00:00"/>
    <s v="-6.11579"/>
    <s v="106.88875"/>
    <s v="Jl. Bugis  RT.01, RW .01 Kel. Kebon Bawang Kec. Tanjung Priok Jak Utara"/>
    <s v="JABODETABEK (INNER)"/>
    <x v="7"/>
    <s v="DKI JAKARTA"/>
    <s v="20"/>
    <s v="BAPS"/>
    <s v="BAPS"/>
    <s v="RFI"/>
    <m/>
    <m/>
    <s v="LUCKI DWI PRISTANTO"/>
    <s v="FAZAR GANNY"/>
    <s v="A. RACHMAN"/>
    <s v="LUCKI DWI PRISTANTO"/>
    <s v="FAZAR GANNY"/>
    <s v="PUSPITO HADIYANTO"/>
    <s v="SHERLY MAULANA"/>
    <x v="1"/>
    <m/>
    <d v="2020-05-10T17:12:19"/>
    <d v="2020-05-10T17:22:45"/>
    <d v="2020-05-17T00:00:00"/>
    <m/>
    <d v="2020-07-15T00:00:00"/>
    <m/>
    <d v="2020-05-10T17:15:01"/>
    <m/>
    <m/>
    <d v="2020-05-10T17:16:09"/>
    <d v="2020-06-26T00:00:00"/>
    <m/>
    <s v="363"/>
    <d v="2020-05-22T00:00:00"/>
    <d v="2020-05-08T00:00:00"/>
    <d v="2020-09-11T00:00:00"/>
    <d v="2020-09-09T00:00:00"/>
    <d v="2020-08-26T14:52:27"/>
    <s v="1832/TB/BAUF-XL/VI/2020"/>
    <m/>
    <d v="1899-12-31T00:00:00"/>
    <m/>
    <d v="1899-12-31T00:00:00"/>
    <m/>
    <m/>
    <m/>
    <m/>
    <m/>
    <d v="2020-07-16T10:56:18"/>
    <d v="2020-07-15T00:00:00"/>
    <d v="2030-07-14T00:00:00"/>
    <d v="2020-01-14T00:00:00"/>
    <d v="2020-05-08T00:00:00"/>
    <d v="2020-05-10T20:41:14"/>
    <d v="2020-05-01T00:00:00"/>
    <d v="2020-05-17T10:35:49"/>
    <m/>
    <m/>
    <s v="MP"/>
    <s v="20"/>
    <s v="GF"/>
    <s v="1"/>
    <d v="2020-05-29T00:00:00"/>
    <m/>
    <d v="2020-09-15T00:00:00"/>
    <m/>
    <s v="RFL"/>
    <d v="2020-05-15T00:00:00"/>
    <s v="OPM-SSTA/VIII/2020/0036"/>
    <s v="OK sesuai hasil cek AFO &amp; OME"/>
    <d v="2020-08-26T13:30:32"/>
    <m/>
    <m/>
    <m/>
    <s v="545103527637"/>
    <d v="2020-06-26T00:00:00"/>
    <s v="PLN REGULER"/>
    <s v="Commitment New Roll Out 2020 Exp Dec 2020 - SRFI"/>
    <s v="OUTDOOR"/>
    <d v="2020-05-17T00:00:00"/>
    <s v="Sub Urban"/>
    <m/>
    <s v="Lumpsum &amp; Fasum"/>
    <m/>
    <m/>
    <m/>
    <m/>
    <x v="7"/>
  </r>
  <r>
    <s v="0030572070031"/>
    <n v="30572070031"/>
    <x v="40"/>
    <s v="JAW-JB-CBI-0066"/>
    <s v="PASIRMUKTI CITEUREUP"/>
    <s v="Pasirmukti Citeureup"/>
    <x v="0"/>
    <s v="-"/>
    <s v="STIP 1"/>
    <s v="XL"/>
    <s v="TB"/>
    <s v="018392/TBG-TB/XL/MKT/01/2020"/>
    <d v="2020-01-14T00:00:00"/>
    <s v="-6.50564"/>
    <s v="106.89982"/>
    <s v="Kp. Rawabogo, RT. 004 RW. 006, Desa Pasir Mukti Kec. Citerep, Kab. Bogor Prov. Jawa Barat"/>
    <s v="JABODETABEK (OUTER)"/>
    <x v="3"/>
    <s v="JAWA BARAT"/>
    <s v="42"/>
    <s v="BAPS"/>
    <s v="BAPS"/>
    <s v="RFI"/>
    <m/>
    <m/>
    <s v="LUCKI DWI PRISTANTO"/>
    <s v="FAZAR GANNY"/>
    <s v="A. RACHMAN"/>
    <s v="LUCKI DWI PRISTANTO"/>
    <s v="FAZAR GANNY"/>
    <s v="PUSPITO HADIYANTO"/>
    <s v="SHERLY MAULANA"/>
    <x v="2"/>
    <s v="PT ORLIE INDONESIA"/>
    <d v="2020-03-25T14:47:37"/>
    <d v="2020-04-09T19:12:30"/>
    <d v="2020-04-30T00:00:00"/>
    <m/>
    <d v="2020-08-04T00:00:00"/>
    <d v="2020-03-25T15:42:50"/>
    <d v="2020-03-25T16:23:31"/>
    <d v="2020-03-29T19:44:49"/>
    <m/>
    <d v="2020-04-04T14:57:02"/>
    <d v="2020-12-10T00:00:00"/>
    <m/>
    <s v="363"/>
    <d v="2020-05-17T00:00:00"/>
    <d v="2020-04-10T00:00:00"/>
    <d v="2020-07-20T00:00:00"/>
    <d v="2020-07-09T00:00:00"/>
    <d v="2020-07-07T15:07:28"/>
    <s v="1786/TB/BAUF-XL/IV/2020"/>
    <m/>
    <d v="2020-06-04T13:56:00"/>
    <s v="PO/TB/20/N007335"/>
    <d v="2020-05-17T21:58:00"/>
    <m/>
    <m/>
    <m/>
    <m/>
    <m/>
    <d v="2020-06-29T15:02:27"/>
    <d v="2020-08-04T00:00:00"/>
    <d v="2030-08-03T00:00:00"/>
    <d v="2020-01-14T00:00:00"/>
    <d v="2020-04-06T00:00:00"/>
    <d v="2020-04-22T13:21:10"/>
    <d v="2020-04-12T00:00:00"/>
    <d v="2020-04-25T17:43:11"/>
    <m/>
    <m/>
    <s v="SST"/>
    <s v="42"/>
    <s v="GF"/>
    <s v="1"/>
    <d v="2020-04-30T00:00:00"/>
    <d v="2021-02-26T00:00:00"/>
    <d v="2021-01-20T00:00:00"/>
    <m/>
    <s v="RFL"/>
    <d v="2020-04-20T00:00:00"/>
    <m/>
    <s v="-"/>
    <m/>
    <m/>
    <m/>
    <m/>
    <s v="538614708734"/>
    <d v="2020-12-10T00:00:00"/>
    <s v="PLN REGULER"/>
    <s v="Commitment New Roll Out 2020 Exp Dec 2020 - SRFI"/>
    <s v="OUTDOOR"/>
    <d v="2020-04-30T00:00:00"/>
    <s v="Sub Urban"/>
    <s v="RTC 1"/>
    <s v="Standard"/>
    <s v="PO/TB/20/N008107"/>
    <n v="98600000"/>
    <n v="28600000"/>
    <n v="70000000"/>
    <x v="2"/>
  </r>
  <r>
    <s v="0030572090031"/>
    <n v="30572090031"/>
    <x v="41"/>
    <s v="JAW-JB-CBI-0085"/>
    <s v="CILLIWUNG PONDOK RAJEG"/>
    <s v="Cilliwung Pondok Rajeg"/>
    <x v="0"/>
    <s v="-"/>
    <s v="STIP 1"/>
    <s v="XL"/>
    <s v="TB"/>
    <s v="018394/TBG-TB/XL/MKT/01/2020"/>
    <d v="2020-01-14T00:00:00"/>
    <s v="-6.4629"/>
    <s v="106.81956"/>
    <s v="Jl. Penjara Pondok Rajeg RT 001 RW 005 Kelurahan Pondok Rajeg Kecamatan Cibinong Kabupaten  Bogor"/>
    <s v="JABODETABEK (OUTER)"/>
    <x v="3"/>
    <s v="JAWA BARAT"/>
    <s v="42"/>
    <s v="BAPS"/>
    <s v="BAPS"/>
    <s v="RFI"/>
    <m/>
    <m/>
    <s v="LUCKI DWI PRISTANTO"/>
    <s v="FANDI KURNIAWAN SAPUTRA"/>
    <s v="A. RACHMAN"/>
    <s v="LUCKI DWI PRISTANTO"/>
    <s v="FAZAR GANNY"/>
    <s v="PUSPITO HADIYANTO"/>
    <s v="SHERLY MAULANA"/>
    <x v="0"/>
    <s v="PT. CATUR TUNGGAL PRIMA"/>
    <d v="2020-07-19T12:29:59"/>
    <d v="2020-07-23T22:10:18"/>
    <d v="2020-08-31T00:00:00"/>
    <m/>
    <d v="2020-10-08T00:00:00"/>
    <d v="2020-07-19T12:52:25"/>
    <d v="2020-07-19T13:42:57"/>
    <d v="2020-07-21T21:24:36"/>
    <m/>
    <d v="2020-07-21T11:58:47"/>
    <d v="2020-08-30T00:00:00"/>
    <m/>
    <s v="363"/>
    <d v="2020-11-30T00:00:00"/>
    <d v="2020-08-05T00:00:00"/>
    <d v="2020-11-09T00:00:00"/>
    <d v="2020-11-06T00:00:00"/>
    <d v="2020-11-04T18:02:11"/>
    <s v="1979/TB/BAUF-XL/VIII/2020"/>
    <m/>
    <d v="2020-07-30T08:03:00"/>
    <s v="PO/TB/20/N012280"/>
    <d v="2020-08-26T20:12:00"/>
    <m/>
    <m/>
    <m/>
    <m/>
    <m/>
    <d v="2020-10-30T18:02:25"/>
    <d v="2020-10-08T00:00:00"/>
    <d v="2030-10-07T00:00:00"/>
    <d v="2020-01-14T00:00:00"/>
    <d v="2020-07-30T00:00:00"/>
    <d v="2020-08-28T14:30:40"/>
    <d v="2020-08-05T00:00:00"/>
    <d v="2020-08-28T15:11:44"/>
    <m/>
    <m/>
    <s v="SST            "/>
    <s v="42                  "/>
    <s v="GF                  "/>
    <s v="1"/>
    <d v="2020-08-05T00:00:00"/>
    <d v="2020-12-31T00:00:00"/>
    <d v="2020-12-12T00:00:00"/>
    <m/>
    <s v="RFL"/>
    <d v="2020-07-24T00:00:00"/>
    <s v="OPM-SSTA/XII/2020/0008"/>
    <s v="Oke"/>
    <d v="2020-12-23T17:11:40"/>
    <m/>
    <m/>
    <m/>
    <s v="538722643487"/>
    <d v="2020-08-30T00:00:00"/>
    <s v="PLN REGULER"/>
    <s v="Commitment New Roll Out 2020 Exp Dec 2020 - SRFI"/>
    <s v="OUTDOOR"/>
    <d v="2020-08-31T18:02:25"/>
    <s v="Urban"/>
    <s v="RTC 1"/>
    <s v="Standard"/>
    <s v="PO/TB/20/N011164"/>
    <n v="87000000"/>
    <n v="22000000"/>
    <n v="65000000"/>
    <x v="13"/>
  </r>
  <r>
    <s v="0030572110031"/>
    <n v="30572110031"/>
    <x v="42"/>
    <s v="JAW-JB-CBI-0086"/>
    <s v="SITU COGARONGSONG PENGASINAN"/>
    <s v="Situ Cogarongsong Pengasinan"/>
    <x v="0"/>
    <s v="-"/>
    <s v="STIP 1"/>
    <s v="XL"/>
    <s v="TB"/>
    <s v="018396/TBG-TB/XL/MKT/01/2020"/>
    <d v="2020-01-14T00:00:00"/>
    <s v="-6.36179"/>
    <s v="106.69202"/>
    <s v="Kp Cibarengkok RT 05 RW 02 Desa Pengasinan Kecamatan GUnung Sindur Kabupaten Bogor"/>
    <s v="JABODETABEK (OUTER)"/>
    <x v="3"/>
    <s v="JAWA BARAT"/>
    <s v="52"/>
    <s v="BAPS"/>
    <s v="BAPS"/>
    <s v="RFI"/>
    <m/>
    <m/>
    <s v="LUCKI DWI PRISTANTO"/>
    <s v="FAZAR GANNY"/>
    <m/>
    <s v="LUCKI DWI PRISTANTO"/>
    <s v="FAZAR GANNY"/>
    <s v="PUSPITO HADIYANTO"/>
    <s v="SHERLY MAULANA"/>
    <x v="4"/>
    <s v="PT. DWI SAMUDERA RAYA"/>
    <d v="2020-05-04T16:44:03"/>
    <d v="2020-05-09T11:14:50"/>
    <d v="2020-06-30T00:00:00"/>
    <m/>
    <d v="2020-10-13T00:00:00"/>
    <d v="2020-05-04T17:18:36"/>
    <d v="2020-05-05T10:35:07"/>
    <d v="2020-05-05T14:50:29"/>
    <m/>
    <d v="2020-05-06T15:27:00"/>
    <d v="2020-12-11T00:00:00"/>
    <m/>
    <s v="363"/>
    <d v="2020-06-24T00:00:00"/>
    <d v="2020-05-08T00:00:00"/>
    <d v="2020-10-20T00:00:00"/>
    <d v="2020-09-30T00:00:00"/>
    <d v="2020-09-28T12:37:56"/>
    <s v="1917/TB/BAUF-XL/VI/2020"/>
    <m/>
    <d v="2020-05-20T21:08:00"/>
    <s v="PO/TB/20/N010102"/>
    <d v="2020-07-08T16:14:00"/>
    <m/>
    <m/>
    <m/>
    <m/>
    <m/>
    <d v="2020-08-29T16:32:11"/>
    <d v="2020-10-13T00:00:00"/>
    <d v="2030-10-12T00:00:00"/>
    <d v="2020-04-23T00:00:00"/>
    <d v="2020-05-28T00:00:00"/>
    <d v="2020-06-22T22:23:32"/>
    <d v="2020-06-16T00:00:00"/>
    <d v="2020-06-25T15:35:29"/>
    <m/>
    <m/>
    <s v="SST"/>
    <s v="52"/>
    <s v="GF"/>
    <s v="1"/>
    <d v="2020-05-29T00:00:00"/>
    <d v="2021-02-26T00:00:00"/>
    <d v="2020-10-23T00:00:00"/>
    <m/>
    <s v="RFL"/>
    <d v="2020-05-15T00:00:00"/>
    <s v="OPM-SSTA/IX/2020/0048"/>
    <s v="Approved"/>
    <d v="2020-09-29T19:53:30"/>
    <m/>
    <m/>
    <m/>
    <s v="538733551424"/>
    <d v="2020-12-11T00:00:00"/>
    <s v="PLN REGULER"/>
    <s v="Commitment New Roll Out 2020 Exp Dec 2020 - SRFI"/>
    <s v="OUTDOOR"/>
    <d v="2020-06-30T00:00:00"/>
    <s v="Rural"/>
    <s v="RTC 1"/>
    <s v="Standard"/>
    <s v="PO/TB/20/N007549"/>
    <n v="96500000"/>
    <n v="21500000"/>
    <n v="75000000"/>
    <x v="2"/>
  </r>
  <r>
    <s v="0030572120031"/>
    <n v="30572120031"/>
    <x v="43"/>
    <s v="JAW-BT-TNG-1470"/>
    <s v="MAWI KUNCIRAN INDAH"/>
    <s v="Mawi Kunciran Indah"/>
    <x v="1"/>
    <s v="-"/>
    <s v="STIP 1"/>
    <s v="XL"/>
    <s v="TB"/>
    <s v="018397/TBG-TB/XL/MKT/01/2020"/>
    <d v="2020-01-14T00:00:00"/>
    <s v="-6.22844"/>
    <s v="106.68179"/>
    <s v="Jl. K.H. Mas Mansyur, Gang H Mawi, RT.05/RW.15, Kel. Kunciran Indah Kec. Pinang, Kota Tangerang Prov. Banten"/>
    <s v="JABODETABEK (INNER)"/>
    <x v="1"/>
    <s v="BANTEN"/>
    <s v="20"/>
    <s v="BAPS"/>
    <s v="BAPS"/>
    <s v="RFI"/>
    <m/>
    <m/>
    <s v="LUCKI DWI PRISTANTO"/>
    <s v="FANDI KURNIAWAN SAPUTRA"/>
    <s v="A. RACHMAN"/>
    <s v="LUCKI DWI PRISTANTO"/>
    <s v="FAZAR GANNY"/>
    <s v="M ARIF HELMI"/>
    <s v="SHERLY MAULANA"/>
    <x v="5"/>
    <s v="PT. RAKA MITRA BERSAMA"/>
    <d v="2020-08-19T12:22:02"/>
    <d v="2020-08-19T14:14:06"/>
    <d v="2020-08-27T00:00:00"/>
    <m/>
    <d v="2020-12-02T00:00:00"/>
    <d v="2020-08-19T12:41:29"/>
    <d v="2020-08-19T12:52:48"/>
    <d v="2020-08-19T13:07:12"/>
    <m/>
    <d v="2020-08-19T12:59:22"/>
    <m/>
    <m/>
    <s v="363"/>
    <d v="2020-08-28T00:00:00"/>
    <d v="2020-08-07T00:00:00"/>
    <d v="2020-12-21T00:00:00"/>
    <d v="2020-11-30T00:00:00"/>
    <d v="2020-11-27T13:31:17"/>
    <s v="1976/TB/BAUF-XL/VIII/2020"/>
    <m/>
    <d v="1899-12-31T00:00:00"/>
    <s v="PO/TB/20/N016945"/>
    <d v="2020-11-17T14:15:00"/>
    <m/>
    <m/>
    <m/>
    <m/>
    <m/>
    <d v="2020-10-26T20:16:26"/>
    <d v="2020-12-02T00:00:00"/>
    <d v="2030-12-01T00:00:00"/>
    <d v="2020-01-14T00:00:00"/>
    <d v="2020-08-03T00:00:00"/>
    <d v="2020-08-27T18:45:46"/>
    <d v="2020-08-06T00:00:00"/>
    <d v="2020-08-27T18:46:53"/>
    <m/>
    <m/>
    <s v="POLE           "/>
    <s v="20                  "/>
    <s v="GF                  "/>
    <s v="1"/>
    <d v="2020-08-07T00:00:00"/>
    <d v="2021-02-05T09:26:50"/>
    <d v="2021-01-20T00:00:00"/>
    <m/>
    <s v="RFL"/>
    <d v="2020-08-21T00:00:00"/>
    <m/>
    <s v="-"/>
    <m/>
    <m/>
    <m/>
    <m/>
    <m/>
    <d v="1899-12-31T00:00:00"/>
    <m/>
    <s v="Commitment New Roll Out 2020 Exp Dec 2020 - SRFI"/>
    <s v="OUTDOOR"/>
    <d v="2020-08-27T00:00:00"/>
    <s v="Sub Urban"/>
    <m/>
    <s v="Standard"/>
    <s v="PO/TB/20/N012484 &amp; PO/TB/20/N012808"/>
    <n v="90000000"/>
    <n v="9500000"/>
    <n v="80500000"/>
    <x v="2"/>
  </r>
  <r>
    <s v="0030572130031"/>
    <n v="30572130031"/>
    <x v="44"/>
    <s v="JAW-BT-CPT-0473"/>
    <s v="DJUNA RAYA PAKUJAYA"/>
    <s v="Djuna Raya Pakujaya"/>
    <x v="1"/>
    <s v="-"/>
    <s v="STIP 1"/>
    <s v="XL"/>
    <s v="TB"/>
    <s v="018398/TBG-TB/XL/MKT/01/2020"/>
    <d v="2020-01-14T00:00:00"/>
    <s v="-6.23056"/>
    <s v="106.69058"/>
    <s v="Kp. Kayu Gede Rt 008 RW 04 Kelurahan Pakujaya Kecamatan Serpong Utara Kota Tangerang Selatan"/>
    <s v="JABODETABEK (OUTER)"/>
    <x v="11"/>
    <s v="BANTEN"/>
    <s v="20"/>
    <s v="BAPS"/>
    <s v="BAPS"/>
    <s v="RFI"/>
    <m/>
    <m/>
    <s v="LUCKI DWI PRISTANTO"/>
    <s v="FAZAR GANNY"/>
    <s v="A. RACHMAN"/>
    <s v="LUCKI DWI PRISTANTO"/>
    <s v="FAZAR GANNY"/>
    <s v="M ARIF HELMI"/>
    <s v="SHERLY MAULANA"/>
    <x v="6"/>
    <s v="PT. TURANGGA EMPAT TIGA"/>
    <d v="2020-07-30T22:58:44"/>
    <d v="2020-07-31T08:15:38"/>
    <d v="2020-07-31T00:00:00"/>
    <m/>
    <d v="2020-11-23T00:00:00"/>
    <d v="2020-07-30T23:12:35"/>
    <d v="2020-07-30T23:21:39"/>
    <d v="2020-07-30T23:29:59"/>
    <m/>
    <d v="2020-07-30T23:22:24"/>
    <d v="2020-12-15T00:00:00"/>
    <m/>
    <s v="363"/>
    <d v="2020-07-31T00:00:00"/>
    <d v="2020-07-15T00:00:00"/>
    <d v="2020-12-21T00:00:00"/>
    <d v="2020-11-30T00:00:00"/>
    <d v="2020-11-27T13:27:39"/>
    <s v="1972/TB/BAUF-XL/VII/2020"/>
    <m/>
    <d v="1899-12-31T00:00:00"/>
    <s v="PO/TB/20/N013705"/>
    <d v="2020-09-22T15:25:00"/>
    <m/>
    <m/>
    <m/>
    <m/>
    <m/>
    <d v="2020-09-29T16:40:55"/>
    <d v="2020-11-23T00:00:00"/>
    <d v="2030-11-22T00:00:00"/>
    <d v="2020-01-14T00:00:00"/>
    <d v="2020-07-07T00:00:00"/>
    <d v="2020-07-31T15:09:55"/>
    <d v="2020-07-12T00:00:00"/>
    <d v="2020-07-31T15:12:34"/>
    <m/>
    <m/>
    <s v="MP"/>
    <s v="20"/>
    <s v="GF"/>
    <s v="1"/>
    <d v="2020-07-15T00:00:00"/>
    <d v="2021-03-31T00:00:00"/>
    <d v="2020-10-10T00:00:00"/>
    <m/>
    <s v="RFL"/>
    <d v="2020-07-31T00:00:00"/>
    <s v="OPM-SSTA/IX/2020/0046"/>
    <s v="Approved"/>
    <d v="2020-09-29T19:52:40"/>
    <m/>
    <m/>
    <m/>
    <s v="566201558459"/>
    <d v="2020-12-15T00:00:00"/>
    <s v="PLN REGULER"/>
    <s v="Commitment New Roll Out 2020 Exp Dec 2020 - SRFI"/>
    <s v="OUTDOOR"/>
    <d v="2020-07-31T00:00:00"/>
    <s v="Sub Urban"/>
    <m/>
    <s v="Standard"/>
    <s v="PO/TB/20/N012158 &amp; PO/TB/20/N012368"/>
    <n v="88000000"/>
    <n v="20000000"/>
    <n v="68000000"/>
    <x v="6"/>
  </r>
  <r>
    <s v="0030572140031"/>
    <n v="30572140031"/>
    <x v="45"/>
    <s v="JAW-BT-CPT-0474"/>
    <s v="ELANG SAWAH"/>
    <s v="Elang Sawah"/>
    <x v="1"/>
    <s v="-"/>
    <s v="STIP 1"/>
    <s v="XL"/>
    <s v="TB"/>
    <s v="018399/TBG-TB/XL/MKT/01/2020"/>
    <d v="2020-01-14T00:00:00"/>
    <s v="-6.30032"/>
    <s v="106.73742"/>
    <s v="Jl. Ki Hajar dewantara, Rt.04/Rw.11, Komplek DEPKES, Kel. Sawah, Kec. Ciputat, Kota Tangerang Selatan Prov. Banten"/>
    <s v="JABODETABEK (OUTER)"/>
    <x v="11"/>
    <s v="BANTEN"/>
    <s v="20"/>
    <s v="BAPS"/>
    <s v="BAPS"/>
    <s v="RFI"/>
    <m/>
    <m/>
    <s v="LUCKI DWI PRISTANTO"/>
    <s v="FAZAR GANNY"/>
    <s v="A. RACHMAN"/>
    <s v="LUCKI DWI PRISTANTO"/>
    <s v="FAZAR GANNY"/>
    <s v="M ARIF HELMI"/>
    <s v="SHERLY MAULANA"/>
    <x v="7"/>
    <s v="PT. ROTUA ABADI JAYA"/>
    <d v="2020-07-21T14:06:43"/>
    <d v="2020-07-21T19:06:28"/>
    <d v="2020-08-26T00:00:00"/>
    <m/>
    <d v="2020-12-02T00:00:00"/>
    <d v="2020-07-21T17:29:12"/>
    <d v="2020-07-21T17:30:50"/>
    <d v="2020-07-21T18:00:12"/>
    <m/>
    <d v="2020-07-21T17:37:46"/>
    <d v="2020-12-28T00:00:00"/>
    <m/>
    <s v="363"/>
    <d v="2020-08-15T00:00:00"/>
    <d v="2020-07-10T00:00:00"/>
    <d v="2020-11-20T00:00:00"/>
    <d v="2020-11-20T00:00:00"/>
    <d v="2020-11-18T11:09:13"/>
    <s v="1981/TB/BAUF-XL/VIII/2020"/>
    <m/>
    <d v="1899-12-31T00:00:00"/>
    <s v="PO/TB/20/N014246"/>
    <d v="2020-10-01T18:57:00"/>
    <m/>
    <m/>
    <m/>
    <m/>
    <m/>
    <d v="2020-10-25T15:20:38"/>
    <d v="2020-12-02T00:00:00"/>
    <d v="2030-12-01T00:00:00"/>
    <d v="2020-01-14T00:00:00"/>
    <d v="2020-08-01T00:00:00"/>
    <d v="2020-08-25T20:55:26"/>
    <d v="2020-08-04T00:00:00"/>
    <d v="2020-08-25T20:56:26"/>
    <m/>
    <m/>
    <s v="MP             "/>
    <s v="20                  "/>
    <s v="GF                  "/>
    <s v="1"/>
    <d v="2020-07-10T00:00:00"/>
    <d v="2021-01-06T08:58:19"/>
    <d v="2021-02-10T00:00:00"/>
    <m/>
    <s v="RFL"/>
    <d v="2020-07-22T00:00:00"/>
    <m/>
    <s v="-"/>
    <m/>
    <m/>
    <m/>
    <m/>
    <s v="543602595959"/>
    <d v="2020-12-28T00:00:00"/>
    <s v="PLN REGULER"/>
    <s v="Commitment New Roll Out 2020 Exp Dec 2020 - SRFI"/>
    <s v="OUTDOOR"/>
    <d v="2020-08-25T00:00:00"/>
    <s v="Sub Urban"/>
    <m/>
    <s v="Standard"/>
    <s v="PO/TB/20/N012807 &amp; PO/TB/20/N013042"/>
    <n v="72000000"/>
    <n v="18000000"/>
    <n v="54000000"/>
    <x v="5"/>
  </r>
  <r>
    <s v="0030572150031"/>
    <n v="30572150031"/>
    <x v="46"/>
    <s v="JAW-JB-CBI-0071"/>
    <s v="PABUARAN KEMANG"/>
    <s v="Pabuaran Kemang"/>
    <x v="0"/>
    <s v="-"/>
    <s v="STIP 1"/>
    <s v="XL"/>
    <s v="TB"/>
    <s v="018400/TBG-TB/XL/MKT/01/2020"/>
    <d v="2020-01-14T00:00:00"/>
    <s v="-6.50417"/>
    <s v="106.74938"/>
    <s v="Kp. Kemang RT. 001 RW.003, Kel. Kemang Kec. Kemang, Kab. Bogor Prov. Jawa Barat"/>
    <s v="JABODETABEK (OUTER)"/>
    <x v="3"/>
    <s v="JAWA BARAT"/>
    <s v="42"/>
    <s v="BAPS"/>
    <s v="BAPS"/>
    <s v="RFI"/>
    <m/>
    <m/>
    <s v="LUCKI DWI PRISTANTO"/>
    <s v="FANDI KURNIAWAN SAPUTRA"/>
    <s v="A. RACHMAN"/>
    <s v="LUCKI DWI PRISTANTO"/>
    <s v="FAZAR GANNY"/>
    <s v="PUSPITO HADIYANTO"/>
    <s v="SHERLY MAULANA"/>
    <x v="2"/>
    <s v="PT ORLIE INDONESIA"/>
    <d v="2020-03-25T16:13:10"/>
    <d v="2020-04-16T09:56:40"/>
    <d v="2020-06-12T00:00:00"/>
    <m/>
    <d v="2020-07-24T00:00:00"/>
    <d v="2020-04-08T14:28:42"/>
    <d v="2020-04-09T11:36:30"/>
    <d v="2020-04-12T09:14:47"/>
    <m/>
    <d v="2020-04-12T16:53:34"/>
    <d v="2020-07-18T00:00:00"/>
    <m/>
    <s v="363"/>
    <d v="2020-06-10T00:00:00"/>
    <d v="2020-04-15T00:00:00"/>
    <d v="2020-09-21T00:00:00"/>
    <d v="2020-09-09T00:00:00"/>
    <d v="2020-07-27T20:37:11"/>
    <s v="1833/TB/BAUF-XL/V/2020"/>
    <m/>
    <d v="2020-05-20T17:39:00"/>
    <s v="PO/TB/20/N006559"/>
    <d v="2020-05-04T19:16:00"/>
    <m/>
    <m/>
    <m/>
    <m/>
    <m/>
    <d v="2020-08-11T20:52:21"/>
    <d v="2020-07-24T00:00:00"/>
    <d v="2030-07-23T00:00:00"/>
    <d v="2020-01-14T00:00:00"/>
    <d v="2020-05-06T00:00:00"/>
    <d v="2020-05-06T21:02:58"/>
    <d v="2020-05-11T00:00:00"/>
    <d v="2020-05-21T11:31:37"/>
    <d v="2020-09-30T00:00:00"/>
    <d v="2020-04-27T00:00:00"/>
    <s v="SST            "/>
    <s v="42                  "/>
    <s v="GF                  "/>
    <s v="1"/>
    <d v="2020-08-31T00:00:00"/>
    <d v="2020-12-31T00:00:00"/>
    <d v="2020-09-15T00:00:00"/>
    <m/>
    <s v="RFL"/>
    <d v="2020-05-15T00:00:00"/>
    <s v="OPM-SSTA/VII/2020/0169"/>
    <s v="Oke"/>
    <d v="2020-07-23T10:03:35"/>
    <m/>
    <m/>
    <m/>
    <s v="538414568448"/>
    <d v="2020-07-18T00:00:00"/>
    <s v="PLN REGULER"/>
    <s v="Commitment New Roll Out 2020 Exp Dec 2020 - SRFI"/>
    <s v="OUTDOOR"/>
    <d v="2020-06-12T00:00:00"/>
    <s v="Rural"/>
    <s v="RTC 2 A"/>
    <s v="Standard"/>
    <s v="PO/TB/20/N007544"/>
    <n v="93500000"/>
    <n v="16000000"/>
    <n v="77500000"/>
    <x v="2"/>
  </r>
  <r>
    <s v="0030572160031"/>
    <n v="30572160031"/>
    <x v="47"/>
    <s v="JAW-BT-TGR-0031"/>
    <s v="KAYU AGUNG SEPATAN"/>
    <s v="Kayu Agung Sepatan"/>
    <x v="0"/>
    <s v="-"/>
    <s v="STIP 1"/>
    <s v="XL"/>
    <s v="TB"/>
    <s v="018401/TBG-TB/XL/MKT/01/2020"/>
    <d v="2020-01-14T00:00:00"/>
    <s v="-6.096165"/>
    <s v="106.592519"/>
    <s v="Jl. Mangga 2,  RT 05 RW 05, Desa Kayu Agung Kec. Sepatan, Kab. Tangerang Prov. Banten"/>
    <s v="JABODETABEK (OUTER)"/>
    <x v="2"/>
    <s v="BANTEN"/>
    <s v="42"/>
    <s v="BAPS"/>
    <s v="BAPS"/>
    <s v="RFI"/>
    <m/>
    <m/>
    <s v="LUCKI DWI PRISTANTO"/>
    <s v="FANDI KURNIAWAN SAPUTRA"/>
    <s v="A. RACHMAN"/>
    <s v="LUCKI DWI PRISTANTO"/>
    <s v="FAZAR GANNY"/>
    <s v="M ARIF HELMI"/>
    <s v="SHERLY MAULANA"/>
    <x v="0"/>
    <s v="PT. Banjarpasir Nusa Pratama"/>
    <d v="2020-05-26T21:57:35"/>
    <d v="2020-06-03T21:38:17"/>
    <d v="2020-06-25T00:00:00"/>
    <m/>
    <d v="2020-07-23T00:00:00"/>
    <d v="2020-05-26T22:59:55"/>
    <d v="2020-05-27T15:37:11"/>
    <d v="2020-05-28T16:52:41"/>
    <m/>
    <d v="2020-06-02T11:25:26"/>
    <d v="2020-06-30T00:00:00"/>
    <m/>
    <s v="363"/>
    <d v="2020-06-28T00:00:00"/>
    <d v="2020-06-06T00:00:00"/>
    <d v="2020-09-21T00:00:00"/>
    <d v="2020-09-09T00:00:00"/>
    <d v="2020-08-26T14:41:54"/>
    <s v="1865/TB/BAUF-XL/VI/2020"/>
    <m/>
    <d v="2020-06-09T14:24:00"/>
    <s v="PO/TB/20/N010280"/>
    <d v="2020-07-12T19:55:00"/>
    <m/>
    <m/>
    <m/>
    <m/>
    <m/>
    <d v="2020-08-24T21:09:34"/>
    <d v="2020-07-23T00:00:00"/>
    <d v="2030-07-22T00:00:00"/>
    <d v="2020-01-14T00:00:00"/>
    <d v="2020-06-02T00:00:00"/>
    <d v="2020-06-06T10:39:39"/>
    <d v="2020-06-09T00:00:00"/>
    <d v="2020-06-15T09:40:25"/>
    <d v="2020-08-26T00:00:00"/>
    <d v="2020-06-15T00:00:00"/>
    <s v="SST            "/>
    <s v="42                  "/>
    <s v="GF                  "/>
    <s v="1"/>
    <d v="2020-06-30T00:00:00"/>
    <d v="2020-11-30T00:00:00"/>
    <d v="2020-09-15T00:00:00"/>
    <m/>
    <s v="RFL"/>
    <d v="2020-06-03T00:00:00"/>
    <s v="OPM-SSTA/VII/2020/0063"/>
    <s v="Oke"/>
    <d v="2020-07-15T12:21:03"/>
    <m/>
    <m/>
    <m/>
    <s v="566601578127"/>
    <d v="2020-06-30T00:00:00"/>
    <s v="PLN REGULER"/>
    <s v="Commitment New Roll Out 2020 Exp Dec 2020 - SRFI"/>
    <s v="OUTDOOR"/>
    <d v="2020-06-25T00:00:00"/>
    <s v="Sub Urban"/>
    <s v="RTC 1"/>
    <s v="Standard"/>
    <s v="PO/TB/20/N008310"/>
    <n v="89500000"/>
    <n v="15000000"/>
    <n v="74500000"/>
    <x v="2"/>
  </r>
  <r>
    <s v="0030572170031"/>
    <n v="30572170031"/>
    <x v="48"/>
    <s v="JAW-BT-TGR-0032"/>
    <s v="SERANG CIKANDE"/>
    <s v="Serang Cikande"/>
    <x v="0"/>
    <s v="-"/>
    <s v="STIP 1"/>
    <s v="XL"/>
    <s v="TB"/>
    <s v="018402/TBG-TB/XL/MKT/01/2020"/>
    <d v="2020-01-14T00:00:00"/>
    <s v="-6.18664"/>
    <s v="106.38297"/>
    <s v="Kp.Babakan RT 012 RW 002 Desa Pasir Gintung Kecamatan Jayanti Kabupaten Tangerang-Banten"/>
    <s v="JABODETABEK (OUTER)"/>
    <x v="2"/>
    <s v="BANTEN"/>
    <s v="42"/>
    <s v="BAPS"/>
    <s v="BAPS"/>
    <s v="RFI"/>
    <m/>
    <m/>
    <s v="LUCKI DWI PRISTANTO"/>
    <s v="FAZAR GANNY"/>
    <s v="A. RACHMAN"/>
    <s v="LUCKI DWI PRISTANTO"/>
    <s v="FAZAR GANNY"/>
    <s v="M ARIF HELMI"/>
    <s v="SHERLY MAULANA"/>
    <x v="0"/>
    <s v="PT. Banjarpasir Nusa Pratama"/>
    <d v="2020-02-10T11:55:19"/>
    <d v="2020-02-19T11:15:31"/>
    <d v="2020-03-29T00:00:00"/>
    <m/>
    <d v="2020-06-30T00:00:00"/>
    <d v="2020-02-11T14:47:43"/>
    <d v="2020-02-12T14:24:56"/>
    <d v="2020-02-13T17:04:08"/>
    <m/>
    <d v="2020-02-17T09:18:12"/>
    <d v="2020-06-25T00:00:00"/>
    <m/>
    <s v="363"/>
    <d v="2020-03-27T00:00:00"/>
    <d v="2020-02-20T00:00:00"/>
    <d v="2020-06-19T00:00:00"/>
    <d v="2020-06-22T00:00:00"/>
    <d v="2020-06-17T20:11:26"/>
    <s v="1789/TB/BAUF-XL/III/2020"/>
    <m/>
    <d v="2020-02-25T17:22:00"/>
    <s v="PO/TB/20/N003995"/>
    <d v="2020-03-19T17:38:00"/>
    <m/>
    <m/>
    <m/>
    <m/>
    <m/>
    <d v="2020-05-28T16:16:00"/>
    <d v="2020-06-30T00:00:00"/>
    <d v="2030-06-29T00:00:00"/>
    <d v="2020-01-14T00:00:00"/>
    <d v="2020-03-01T00:00:00"/>
    <d v="2020-03-18T17:49:12"/>
    <d v="2020-03-07T00:00:00"/>
    <d v="2020-03-19T17:08:45"/>
    <d v="2020-07-30T00:00:00"/>
    <d v="1899-12-31T00:00:00"/>
    <s v="SST"/>
    <s v="42"/>
    <s v="GF"/>
    <s v="1"/>
    <d v="2020-02-20T00:00:00"/>
    <d v="2020-08-31T00:00:00"/>
    <d v="2020-07-20T00:00:00"/>
    <m/>
    <s v="RFL"/>
    <d v="2020-02-26T00:00:00"/>
    <s v="OPM-SSTA/V/2020/0088"/>
    <s v="Oke"/>
    <d v="2020-05-27T17:04:13"/>
    <m/>
    <m/>
    <m/>
    <s v="566401509916"/>
    <d v="2020-06-25T00:00:00"/>
    <s v="PLN REGULER"/>
    <s v="Commitment New Roll Out 2020 Exp Dec 2020 - SRFI"/>
    <s v="OUTDOOR"/>
    <d v="2020-03-27T00:00:00"/>
    <s v="Sub Urban"/>
    <s v="RTC 1"/>
    <s v="Standard"/>
    <s v="PO/TB/20/N002351"/>
    <n v="89000000"/>
    <n v="14000000"/>
    <n v="75000000"/>
    <x v="2"/>
  </r>
  <r>
    <s v="0030572180031"/>
    <n v="30572180031"/>
    <x v="49"/>
    <s v="JAW-BT-CPT-0476"/>
    <s v="PONDOK CABE RAYA"/>
    <s v="Pondok Cabe Raya"/>
    <x v="1"/>
    <s v="-"/>
    <s v="STIP 1"/>
    <s v="XL"/>
    <s v="TB"/>
    <s v="018403/TBG-TB/XL/MKT/01/2020"/>
    <d v="2020-01-14T00:00:00"/>
    <s v="-6.33084"/>
    <s v="106.76953"/>
    <s v="JL. cabe III/6 RT.001 RW.005. Kel. Pondok cabe Ilir Kec. Pamulang  Kota Tangerang Selatan "/>
    <s v="JABODETABEK (OUTER)"/>
    <x v="11"/>
    <s v="BANTEN"/>
    <s v="20"/>
    <s v="RFI"/>
    <s v="CME"/>
    <s v="SRFI"/>
    <m/>
    <m/>
    <s v="LUCKI DWI PRISTANTO"/>
    <s v="FANDI KURNIAWAN SAPUTRA"/>
    <s v="A. RACHMAN"/>
    <s v="LUCKI DWI PRISTANTO"/>
    <s v="FAZAR GANNY"/>
    <s v="M ARIF HELMI"/>
    <s v="SHERLY MAULANA"/>
    <x v="0"/>
    <m/>
    <d v="2020-11-26T00:24:38"/>
    <d v="2020-11-26T08:57:16"/>
    <d v="2020-11-30T00:00:00"/>
    <m/>
    <m/>
    <d v="2020-11-26T05:41:28"/>
    <d v="2020-11-26T05:43:30"/>
    <d v="2020-11-26T05:56:06"/>
    <m/>
    <d v="2020-11-26T05:44:08"/>
    <m/>
    <m/>
    <s v="363"/>
    <d v="2020-11-30T00:00:00"/>
    <d v="2020-11-13T00:00:00"/>
    <d v="2021-01-22T00:00:00"/>
    <m/>
    <m/>
    <m/>
    <m/>
    <d v="1899-12-31T00:00:00"/>
    <m/>
    <d v="1899-12-31T00:00:00"/>
    <m/>
    <m/>
    <m/>
    <m/>
    <m/>
    <d v="2021-01-29T16:25:23"/>
    <m/>
    <m/>
    <d v="2020-01-14T00:00:00"/>
    <d v="2020-11-13T00:00:00"/>
    <d v="2020-11-30T16:09:41"/>
    <d v="2020-11-13T00:00:00"/>
    <d v="2020-11-30T16:10:20"/>
    <m/>
    <m/>
    <s v="MP             "/>
    <s v="20                  "/>
    <s v="GF                  "/>
    <s v="1"/>
    <d v="2020-11-13T00:00:00"/>
    <d v="2020-11-27T10:00:49"/>
    <d v="2021-02-20T00:00:00"/>
    <m/>
    <s v="RFL"/>
    <d v="2020-12-02T00:00:00"/>
    <m/>
    <s v="-"/>
    <m/>
    <m/>
    <m/>
    <m/>
    <m/>
    <d v="1899-12-31T00:00:00"/>
    <m/>
    <s v="Commitment New Roll Out 2020 Exp Dec 2020 - SRFI"/>
    <s v="OUTDOOR"/>
    <d v="2020-11-30T00:00:00"/>
    <s v="Sub Urban"/>
    <m/>
    <s v="Standard"/>
    <s v="PO/TB/20/N018054 &amp; PO/TB/20/N018401"/>
    <n v="91000000"/>
    <n v="11000000"/>
    <n v="80000000"/>
    <x v="6"/>
  </r>
  <r>
    <s v="0030572190031"/>
    <n v="30572190031"/>
    <x v="50"/>
    <s v="JAW-BT-TGR-0049"/>
    <s v="GRIYA SUKATANI MEKARSARI"/>
    <s v="Griya Sukatani Mekarsari"/>
    <x v="0"/>
    <s v="-"/>
    <s v="STIP 1"/>
    <s v="XL"/>
    <s v="TB"/>
    <s v="018404/TBG-TB/XL/MKT/01/2020"/>
    <d v="2020-01-14T00:00:00"/>
    <s v="-6.128375"/>
    <s v="106.532867"/>
    <s v="Kp.Pondok Cikurus RT.07/02, Desa Mekarsari,  Kec. Rajeg Kabupaten Tangerang - Banten"/>
    <s v="JABODETABEK (OUTER)"/>
    <x v="2"/>
    <s v="BANTEN"/>
    <s v="42"/>
    <s v="BAPS"/>
    <s v="BAPS"/>
    <s v="RFI"/>
    <m/>
    <m/>
    <s v="LUCKI DWI PRISTANTO"/>
    <s v="FANDI KURNIAWAN SAPUTRA"/>
    <s v="A. RACHMAN"/>
    <s v="LUCKI DWI PRISTANTO"/>
    <s v="FAZAR GANNY"/>
    <s v="M ARIF HELMI"/>
    <s v="SHERLY MAULANA"/>
    <x v="0"/>
    <s v="PT. Banjarpasir Nusa Pratama"/>
    <d v="2020-03-30T09:15:01"/>
    <d v="2020-06-26T18:55:21"/>
    <d v="2020-07-23T00:00:00"/>
    <m/>
    <d v="2020-10-20T00:00:00"/>
    <d v="2020-06-23T14:09:48"/>
    <d v="2020-06-24T19:26:45"/>
    <d v="2020-06-24T19:57:45"/>
    <m/>
    <d v="2020-06-25T18:18:44"/>
    <d v="2020-12-07T00:00:00"/>
    <m/>
    <s v="363"/>
    <d v="2020-07-31T00:00:00"/>
    <d v="2020-06-26T00:00:00"/>
    <d v="2020-12-21T00:00:00"/>
    <d v="2020-12-11T00:00:00"/>
    <d v="2020-12-10T15:25:38"/>
    <s v="1918/TB/BAUF-XL/VII/2020"/>
    <m/>
    <d v="2020-06-30T08:39:00"/>
    <s v="PO/TB/20/N010511"/>
    <d v="2020-07-15T14:37:00"/>
    <m/>
    <m/>
    <m/>
    <m/>
    <m/>
    <d v="2020-09-21T15:04:55"/>
    <d v="2020-10-20T00:00:00"/>
    <d v="2030-10-19T00:00:00"/>
    <d v="2020-01-14T00:00:00"/>
    <d v="2020-06-26T00:00:00"/>
    <d v="2020-06-29T10:03:28"/>
    <d v="2020-07-03T00:00:00"/>
    <d v="2020-07-08T11:14:40"/>
    <m/>
    <m/>
    <s v="SST"/>
    <s v="42"/>
    <s v="GF"/>
    <s v="1"/>
    <d v="2020-07-30T00:00:00"/>
    <d v="2020-12-31T00:00:00"/>
    <d v="2020-10-10T00:00:00"/>
    <m/>
    <s v="RFL"/>
    <d v="2020-06-29T00:00:00"/>
    <s v="OPM-SSTA/VIII/2020/0020"/>
    <s v="Oke"/>
    <d v="2020-08-14T16:12:30"/>
    <m/>
    <m/>
    <m/>
    <s v="566601731346"/>
    <d v="2020-12-07T00:00:00"/>
    <s v="PLN REGULER"/>
    <s v="Commitment New Roll Out 2020 Exp Dec 2020 - SRFI"/>
    <s v="OUTDOOR"/>
    <d v="2020-07-21T00:00:00"/>
    <s v="Sub Urban"/>
    <s v="RTC 1"/>
    <s v="Standard"/>
    <s v="PO/TB/20/N009489"/>
    <n v="99000000"/>
    <n v="23500000"/>
    <n v="75500000"/>
    <x v="2"/>
  </r>
  <r>
    <s v="0030572200031"/>
    <n v="30572200031"/>
    <x v="51"/>
    <s v="JAW-BT-TGR-0051"/>
    <s v="STASIUN CIKOYA"/>
    <s v="Stasiun Cikoya"/>
    <x v="0"/>
    <s v="-"/>
    <s v="STIP 1"/>
    <s v="XL"/>
    <s v="TB"/>
    <s v="018405/TBG-TB/XL/MKT/01/2020"/>
    <d v="2020-01-14T00:00:00"/>
    <s v="-6.33488"/>
    <s v="106.41278"/>
    <s v="Kp. Pos Cikoya Rt.002 Rw.001 Desa Cikasungka Kec. Solear Kab. Tangerang"/>
    <s v="JABODETABEK (OUTER)"/>
    <x v="2"/>
    <s v="BANTEN"/>
    <s v="32"/>
    <s v="BAPS"/>
    <s v="BAPS"/>
    <s v="RFI"/>
    <m/>
    <m/>
    <s v="LUCKI DWI PRISTANTO"/>
    <s v="FAZAR GANNY"/>
    <s v="A. RACHMAN"/>
    <s v="LUCKI DWI PRISTANTO"/>
    <s v="FAZAR GANNY"/>
    <s v="M ARIF HELMI"/>
    <s v="SHERLY MAULANA"/>
    <x v="8"/>
    <s v="PT. MANDIRA INFRA TRIPAKARTI"/>
    <d v="2020-02-13T11:52:38"/>
    <d v="2020-05-10T20:35:29"/>
    <d v="2020-07-03T00:00:00"/>
    <m/>
    <d v="2020-08-22T00:00:00"/>
    <d v="2020-02-13T18:06:57"/>
    <d v="2020-02-13T21:02:55"/>
    <d v="2020-05-10T11:24:27"/>
    <m/>
    <d v="2020-05-10T12:42:15"/>
    <d v="2020-07-25T00:00:00"/>
    <m/>
    <s v="363"/>
    <d v="2020-07-06T00:00:00"/>
    <d v="2020-05-15T00:00:00"/>
    <d v="2020-09-28T00:00:00"/>
    <d v="2020-09-25T00:00:00"/>
    <d v="2020-09-22T17:19:10"/>
    <s v="1878/TB/BAUF-XL/VII/2020"/>
    <m/>
    <d v="2020-06-05T13:10:00"/>
    <s v="PO/TB/20/N009578"/>
    <d v="2020-07-01T10:06:00"/>
    <m/>
    <m/>
    <m/>
    <m/>
    <m/>
    <d v="2020-09-01T21:22:57"/>
    <d v="2020-08-22T00:00:00"/>
    <d v="2030-08-21T00:00:00"/>
    <d v="2020-01-14T00:00:00"/>
    <d v="2020-07-10T00:00:00"/>
    <d v="2020-07-01T14:24:20"/>
    <d v="2020-06-13T00:00:00"/>
    <d v="2020-07-02T12:26:02"/>
    <m/>
    <m/>
    <s v="SST            "/>
    <s v="32                  "/>
    <s v="GF                  "/>
    <s v="1"/>
    <d v="2020-06-30T00:00:00"/>
    <d v="2021-01-31T00:00:00"/>
    <d v="2020-10-10T00:00:00"/>
    <m/>
    <s v="RFL"/>
    <d v="2020-06-12T00:00:00"/>
    <s v="OPM-SSTA/VIII/2020/0019"/>
    <s v="Oke"/>
    <d v="2020-08-22T13:05:10"/>
    <m/>
    <m/>
    <m/>
    <s v="566401536248"/>
    <d v="2020-07-25T00:00:00"/>
    <s v="PLN REGULER"/>
    <s v="Commitment New Roll Out 2020 Exp Dec 2020 - SRFI"/>
    <s v="OUTDOOR"/>
    <d v="2020-07-03T00:00:00"/>
    <s v="Sub Urban"/>
    <s v="RTC 1"/>
    <s v="Standard"/>
    <s v="PO/TB/20/N008153"/>
    <n v="76400000"/>
    <n v="2000000"/>
    <n v="74400000"/>
    <x v="14"/>
  </r>
  <r>
    <s v="0030572210031"/>
    <n v="30572210031"/>
    <x v="52"/>
    <s v="JAW-JK-CKG-0354"/>
    <s v="MEJING BAMBU APUS"/>
    <s v="Mejing Bambu Apus"/>
    <x v="1"/>
    <s v="-"/>
    <s v="STIP 1"/>
    <s v="XL"/>
    <s v="TB"/>
    <s v="018406/TBG-TB/XL/MKT/01/2020"/>
    <d v="2020-01-14T00:00:00"/>
    <s v="-6.30957"/>
    <s v="106.89886"/>
    <s v=" Bambu kuning selatan  RT 13 , RW 02 Kel. Baambu apus kec.Cipayung kota jakarta Timur"/>
    <s v="JABODETABEK (INNER)"/>
    <x v="10"/>
    <s v="DKI JAKARTA"/>
    <s v="20"/>
    <s v="BAPS"/>
    <s v="BAPS"/>
    <s v="RFI"/>
    <m/>
    <m/>
    <s v="LUCKI DWI PRISTANTO"/>
    <s v="FAZAR GANNY"/>
    <s v="A. RACHMAN"/>
    <s v="LUCKI DWI PRISTANTO"/>
    <s v="FAZAR GANNY"/>
    <s v="M ARIF HELMI"/>
    <s v="SHERLY MAULANA"/>
    <x v="1"/>
    <m/>
    <d v="2020-03-23T20:11:01"/>
    <d v="2020-03-23T21:10:23"/>
    <d v="2020-04-16T00:00:00"/>
    <m/>
    <d v="2020-07-15T00:00:00"/>
    <m/>
    <d v="2020-03-23T20:31:06"/>
    <m/>
    <m/>
    <d v="2020-03-23T20:31:56"/>
    <d v="2020-07-07T00:00:00"/>
    <m/>
    <s v="363"/>
    <d v="2020-04-15T00:00:00"/>
    <d v="2020-03-20T00:00:00"/>
    <d v="2020-07-24T00:00:00"/>
    <d v="2020-06-30T00:00:00"/>
    <d v="2020-06-24T10:18:52"/>
    <s v="1796/TB/BAUF-XL/IV/2020"/>
    <m/>
    <d v="1899-12-31T00:00:00"/>
    <m/>
    <d v="1899-12-31T00:00:00"/>
    <m/>
    <m/>
    <m/>
    <m/>
    <m/>
    <d v="2020-06-15T18:08:08"/>
    <d v="2020-07-15T00:00:00"/>
    <d v="2030-07-14T00:00:00"/>
    <d v="2020-01-14T00:00:00"/>
    <d v="2020-04-01T00:00:00"/>
    <d v="2020-04-11T21:28:26"/>
    <d v="2020-04-06T00:00:00"/>
    <d v="2020-04-11T21:28:55"/>
    <m/>
    <m/>
    <s v="MP"/>
    <s v="20"/>
    <s v="GF"/>
    <s v="1"/>
    <d v="2020-04-24T00:00:00"/>
    <m/>
    <d v="2020-09-15T00:00:00"/>
    <m/>
    <s v="RFL"/>
    <d v="2020-03-30T00:00:00"/>
    <s v="OPM-SSTA/VIII/2020/0037"/>
    <s v="OK sesuai hasil cek AFO &amp; OME"/>
    <d v="2020-08-26T13:31:34"/>
    <m/>
    <m/>
    <m/>
    <s v="547202173233"/>
    <d v="2020-07-07T00:00:00"/>
    <s v="PLN REGULER"/>
    <s v="Commitment New Roll Out 2020 Exp Dec 2020 - SRFI"/>
    <s v="OUTDOOR"/>
    <d v="2020-04-16T00:00:00"/>
    <s v="Sub Urban"/>
    <m/>
    <s v="Lumpsum &amp; Fasum"/>
    <m/>
    <m/>
    <m/>
    <m/>
    <x v="7"/>
  </r>
  <r>
    <s v="0030572220031"/>
    <n v="30572220031"/>
    <x v="53"/>
    <s v="JAW-BT-TGR-0024"/>
    <s v="RAYA CISAUK BSD"/>
    <s v="Raya Cisauk BSD"/>
    <x v="0"/>
    <s v="-"/>
    <s v="STIP 1"/>
    <s v="XL"/>
    <s v="TB"/>
    <s v="018407/TBG-TB/XL/MKT/01/2020"/>
    <d v="2020-01-14T00:00:00"/>
    <s v="-6.30852"/>
    <s v="106.65639"/>
    <s v="Kp.Sampora RT.02 RW.02 Desa Sampora Kecamatan Cisauk Kabupaten Tangerang"/>
    <s v="JABODETABEK (OUTER)"/>
    <x v="2"/>
    <s v="BANTEN"/>
    <s v="32"/>
    <s v="BAPS"/>
    <s v="BAPS"/>
    <s v="RFI"/>
    <m/>
    <m/>
    <s v="LUCKI DWI PRISTANTO"/>
    <s v="FANDI KURNIAWAN SAPUTRA"/>
    <s v="A. RACHMAN"/>
    <s v="LUCKI DWI PRISTANTO"/>
    <s v="FAZAR GANNY"/>
    <s v="M ARIF HELMI"/>
    <s v="SHERLY MAULANA"/>
    <x v="9"/>
    <s v="PT. MANDIRA INFRA TRIPAKARTI"/>
    <d v="2020-03-24T14:25:49"/>
    <d v="2020-04-16T09:57:22"/>
    <d v="2020-05-15T00:00:00"/>
    <m/>
    <d v="2020-07-11T00:00:00"/>
    <d v="2020-04-06T12:48:35"/>
    <d v="2020-04-06T13:33:50"/>
    <d v="2020-04-09T12:01:28"/>
    <m/>
    <d v="2020-04-10T16:18:43"/>
    <d v="2020-07-01T00:00:00"/>
    <m/>
    <s v="363"/>
    <d v="2020-05-12T00:00:00"/>
    <d v="2020-04-15T00:00:00"/>
    <d v="2020-07-11T00:00:00"/>
    <d v="2020-07-17T00:00:00"/>
    <d v="2020-07-15T15:00:22"/>
    <s v="1836/TB/BAUF-XL/V/2020"/>
    <m/>
    <d v="2020-06-04T13:59:00"/>
    <s v="PO/TB/20/N007484"/>
    <d v="2020-05-19T21:49:00"/>
    <m/>
    <m/>
    <m/>
    <m/>
    <m/>
    <d v="2020-07-14T20:41:14"/>
    <d v="2020-07-11T00:00:00"/>
    <d v="2030-07-10T00:00:00"/>
    <d v="2020-01-14T00:00:00"/>
    <d v="2020-04-05T00:00:00"/>
    <d v="2020-05-12T09:14:26"/>
    <d v="2020-04-15T00:00:00"/>
    <d v="2020-05-14T12:48:57"/>
    <d v="2020-07-30T00:00:00"/>
    <d v="2020-05-15T00:00:00"/>
    <s v="SST"/>
    <s v="32"/>
    <s v="GF"/>
    <s v="1"/>
    <d v="2020-05-29T00:00:00"/>
    <d v="2020-10-30T00:00:00"/>
    <d v="2020-10-10T00:00:00"/>
    <m/>
    <s v="RFL"/>
    <d v="2020-05-15T00:00:00"/>
    <s v="OPM-SSTA/VIII/2020/0014"/>
    <s v="Oke"/>
    <d v="2020-08-22T13:04:03"/>
    <m/>
    <m/>
    <m/>
    <s v="566201431275"/>
    <d v="2020-07-01T00:00:00"/>
    <s v="PLN REGULER"/>
    <s v="Commitment New Roll Out 2020 Exp Dec 2020 - SRFI"/>
    <s v="OUTDOOR"/>
    <d v="2020-05-15T00:00:00"/>
    <s v="Urban"/>
    <s v="RTC 1"/>
    <s v="Standard"/>
    <s v="PO/TB/20/N008108"/>
    <n v="87500000"/>
    <n v="4000000"/>
    <n v="83500000"/>
    <x v="2"/>
  </r>
  <r>
    <s v="0030572230031"/>
    <n v="30572230031"/>
    <x v="54"/>
    <s v="JAW-JB-CBI-0063"/>
    <s v="JALAN RAYA PUSPITEK"/>
    <s v="Jalan Raya Puspitek"/>
    <x v="0"/>
    <s v="-"/>
    <s v="STIP 1"/>
    <s v="XL"/>
    <s v="TB"/>
    <s v="018408/TBG-TB/XL/MKT/01/2020"/>
    <d v="2020-01-14T00:00:00"/>
    <s v="-6.36778"/>
    <s v="106.68312"/>
    <s v="Kp. Jeletreng RT. 05 RW 04 Desa Pengasinan Kecamatan Gunung Sindur Kab. Bogor - Jawa Barat"/>
    <s v="JABODETABEK (OUTER)"/>
    <x v="3"/>
    <s v="JAWA BARAT"/>
    <s v="42"/>
    <s v="BAPS"/>
    <s v="BAPS"/>
    <s v="RFI"/>
    <m/>
    <m/>
    <s v="LUCKI DWI PRISTANTO"/>
    <s v="FAZAR GANNY"/>
    <s v="A. RACHMAN"/>
    <s v="LUCKI DWI PRISTANTO"/>
    <s v="FAZAR GANNY"/>
    <s v="M ARIF HELMI"/>
    <s v="SHERLY MAULANA"/>
    <x v="4"/>
    <s v="PT. DWI SAMUDERA RAYA"/>
    <d v="2020-03-24T10:45:35"/>
    <d v="2020-04-09T19:13:01"/>
    <d v="2020-06-20T00:00:00"/>
    <m/>
    <d v="2020-09-21T00:00:00"/>
    <d v="2020-03-24T11:20:36"/>
    <d v="2020-03-24T13:38:29"/>
    <d v="2020-03-24T21:35:42"/>
    <m/>
    <d v="2020-04-03T15:51:46"/>
    <d v="2020-12-10T00:00:00"/>
    <m/>
    <s v="363"/>
    <d v="2020-06-10T00:00:00"/>
    <d v="2020-04-10T00:00:00"/>
    <d v="2020-12-21T00:00:00"/>
    <d v="2020-12-11T00:00:00"/>
    <d v="2020-12-10T15:31:00"/>
    <s v="1871/TB/BAUF-XL/VI/2020"/>
    <m/>
    <d v="2020-05-14T13:10:00"/>
    <s v="PO/TB/20/N007331"/>
    <d v="2020-05-17T21:10:00"/>
    <m/>
    <m/>
    <m/>
    <m/>
    <m/>
    <d v="2020-08-19T17:50:05"/>
    <d v="2020-09-21T00:00:00"/>
    <d v="2030-09-20T00:00:00"/>
    <d v="2020-01-14T00:00:00"/>
    <d v="2020-05-29T00:00:00"/>
    <d v="2020-05-14T13:06:22"/>
    <d v="2020-06-11T00:00:00"/>
    <d v="2020-06-12T23:16:08"/>
    <m/>
    <m/>
    <s v="SST"/>
    <s v="42"/>
    <s v="GF"/>
    <s v="1"/>
    <d v="2020-04-23T00:00:00"/>
    <d v="2021-02-26T00:00:00"/>
    <d v="2020-09-15T00:00:00"/>
    <m/>
    <s v="RFL"/>
    <d v="2020-04-12T00:00:00"/>
    <s v="OPM-SSTA/IX/2020/0047"/>
    <s v="Approved"/>
    <d v="2020-09-29T19:53:05"/>
    <m/>
    <m/>
    <m/>
    <s v="538733551408"/>
    <d v="2020-12-10T00:00:00"/>
    <s v="PLN REGULER"/>
    <s v="Commitment New Roll Out 2020 Exp Dec 2020 - SRFI"/>
    <s v="OUTDOOR"/>
    <d v="2020-06-20T00:00:00"/>
    <s v="Rural"/>
    <s v="RTC 1"/>
    <s v="Standard"/>
    <s v="PO/TB/20/N007175"/>
    <n v="89700000"/>
    <n v="22700000"/>
    <n v="67000000"/>
    <x v="2"/>
  </r>
  <r>
    <s v="0030572240031"/>
    <n v="30572240031"/>
    <x v="55"/>
    <s v="JAW-BT-TGR-0025"/>
    <s v="PATRASANA KRESEK"/>
    <s v="Patrasana Kresek"/>
    <x v="0"/>
    <s v="-"/>
    <s v="STIP 1"/>
    <s v="XL"/>
    <s v="TB"/>
    <s v="018409/TBG-TB/XL/MKT/01/2020"/>
    <d v="2020-01-14T00:00:00"/>
    <s v="-6.15489"/>
    <s v="106.40342"/>
    <s v="Jl. Raya Kresek RT 001 RW 001 Desa Patrasana Kecamatan Kresek Kabupaten Tangerang - Banten."/>
    <s v="JABODETABEK (OUTER)"/>
    <x v="2"/>
    <s v="BANTEN"/>
    <s v="42"/>
    <s v="BAPS"/>
    <s v="BAPS"/>
    <s v="RFI"/>
    <m/>
    <m/>
    <s v="LUCKI DWI PRISTANTO"/>
    <s v="FAZAR GANNY"/>
    <s v="A. RACHMAN"/>
    <s v="LUCKI DWI PRISTANTO"/>
    <s v="FAZAR GANNY"/>
    <s v="M ARIF HELMI"/>
    <s v="SHERLY MAULANA"/>
    <x v="0"/>
    <s v="PT. Banjarpasir Nusa Pratama"/>
    <d v="2020-02-13T13:27:28"/>
    <d v="2020-03-25T11:08:30"/>
    <d v="2020-04-30T00:00:00"/>
    <m/>
    <d v="2020-08-04T00:00:00"/>
    <d v="2020-03-22T17:26:08"/>
    <d v="2020-03-24T18:39:52"/>
    <d v="2020-03-24T19:06:13"/>
    <m/>
    <d v="2020-03-24T20:42:24"/>
    <d v="2020-06-25T00:00:00"/>
    <m/>
    <s v="363"/>
    <d v="2020-04-28T00:00:00"/>
    <d v="2020-03-20T00:00:00"/>
    <d v="2020-07-24T00:00:00"/>
    <d v="2020-06-29T00:00:00"/>
    <d v="2020-06-24T14:11:25"/>
    <s v="1791/TB/BAUF-XL/IV/2020"/>
    <m/>
    <d v="2020-04-08T09:20:00"/>
    <s v="PO/TB/20/N005374"/>
    <d v="2020-04-14T11:20:00"/>
    <m/>
    <m/>
    <m/>
    <m/>
    <m/>
    <d v="2020-06-29T15:02:32"/>
    <d v="2020-08-04T00:00:00"/>
    <d v="2030-08-03T00:00:00"/>
    <d v="2020-01-14T00:00:00"/>
    <d v="2020-04-08T00:00:00"/>
    <d v="2020-04-13T21:33:47"/>
    <d v="2020-04-14T00:00:00"/>
    <d v="2020-04-17T15:30:43"/>
    <d v="2020-07-28T00:00:00"/>
    <d v="2020-04-08T00:00:00"/>
    <s v="SST"/>
    <s v="42"/>
    <s v="GF"/>
    <s v="1"/>
    <d v="2020-08-31T00:00:00"/>
    <d v="2020-08-31T00:00:00"/>
    <d v="2020-07-15T00:00:00"/>
    <m/>
    <s v="RFL"/>
    <d v="2020-04-08T00:00:00"/>
    <s v="OPM-SSTA/VI/2020/0079"/>
    <s v="Oke"/>
    <d v="2020-06-28T10:27:03"/>
    <m/>
    <m/>
    <m/>
    <s v="566401509454"/>
    <d v="2020-06-25T00:00:00"/>
    <s v="PLN REGULER"/>
    <s v="Commitment New Roll Out 2020 Exp Dec 2020 - SRFI"/>
    <s v="OUTDOOR"/>
    <d v="2020-04-30T00:00:00"/>
    <s v="Sub Urban"/>
    <s v="RTC 1"/>
    <s v="Standard"/>
    <s v="PO/TB/20/N005056"/>
    <n v="79000000"/>
    <n v="8000000"/>
    <n v="71000000"/>
    <x v="2"/>
  </r>
  <r>
    <s v="0030572250031"/>
    <n v="30572250031"/>
    <x v="56"/>
    <s v="JAW-BT-TGR-0026"/>
    <s v="CIRUMPAK TANGERANG"/>
    <s v="Cirumpak Tangerang"/>
    <x v="0"/>
    <s v="-"/>
    <s v="STIP 1"/>
    <s v="XL"/>
    <s v="TB"/>
    <s v="018410/TBG-TB/XL/MKT/01/2020"/>
    <d v="2020-01-14T00:00:00"/>
    <s v="-6.10425"/>
    <s v="106.43773"/>
    <s v="Kp. Pasir RT 06 RW 03 Desa Pasir Kecamatan Kronjo Kabupaten Tangerang - Banten."/>
    <s v="JABODETABEK (OUTER)"/>
    <x v="2"/>
    <s v="BANTEN"/>
    <s v="52"/>
    <s v="BAPS"/>
    <s v="BAPS"/>
    <s v="RFI"/>
    <m/>
    <m/>
    <s v="LUCKI DWI PRISTANTO"/>
    <s v="FAZAR GANNY"/>
    <s v="A. RACHMAN"/>
    <s v="LUCKI DWI PRISTANTO"/>
    <s v="FAZAR GANNY"/>
    <s v="M ARIF HELMI"/>
    <s v="SHERLY MAULANA"/>
    <x v="0"/>
    <s v="PT. Banjarpasir Nusa Pratama"/>
    <d v="2020-02-13T13:26:34"/>
    <d v="2020-02-26T14:37:34"/>
    <d v="2020-03-30T00:00:00"/>
    <m/>
    <d v="2020-05-18T00:00:00"/>
    <d v="2020-02-24T12:53:43"/>
    <d v="2020-02-24T14:46:12"/>
    <d v="2020-02-26T13:58:28"/>
    <m/>
    <d v="2020-02-24T17:49:29"/>
    <d v="2020-04-30T00:00:00"/>
    <m/>
    <s v="363"/>
    <d v="2020-03-27T00:00:00"/>
    <d v="2020-02-21T00:00:00"/>
    <d v="2020-06-19T00:00:00"/>
    <d v="2020-06-16T00:00:00"/>
    <d v="2020-06-10T14:57:50"/>
    <s v="1788/TB/BAUF-XL/III/2020"/>
    <m/>
    <d v="2020-03-04T14:30:00"/>
    <s v="PO/TB/20/N005352"/>
    <d v="2020-04-13T17:19:00"/>
    <m/>
    <m/>
    <m/>
    <m/>
    <m/>
    <d v="2020-05-29T16:44:57"/>
    <d v="2020-05-18T00:00:00"/>
    <d v="2030-05-17T00:00:00"/>
    <d v="2020-01-14T00:00:00"/>
    <d v="2020-03-06T00:00:00"/>
    <d v="2020-03-21T10:03:42"/>
    <d v="2020-03-13T00:00:00"/>
    <d v="2020-03-26T21:07:14"/>
    <d v="2020-05-28T00:00:00"/>
    <d v="2020-05-29T00:00:00"/>
    <s v="SST"/>
    <s v="52"/>
    <s v="GF"/>
    <s v="1"/>
    <d v="2020-03-19T00:00:00"/>
    <d v="2020-08-31T00:00:00"/>
    <d v="2020-06-20T00:00:00"/>
    <m/>
    <s v="RFL"/>
    <d v="2020-02-26T00:00:00"/>
    <s v="OPM-SSTA/V/2020/0005"/>
    <s v="Oke"/>
    <d v="2020-05-15T13:08:42"/>
    <m/>
    <m/>
    <m/>
    <s v="566401480561"/>
    <d v="2020-04-30T00:00:00"/>
    <s v="PLN REGULER"/>
    <s v="Commitment New Roll Out 2020 Exp Dec 2020 - SRFI"/>
    <s v="OUTDOOR"/>
    <d v="2020-03-30T00:00:00"/>
    <s v="Sub Urban"/>
    <s v="RTC 1"/>
    <s v="Standard"/>
    <s v="PO/TB/20/N002745"/>
    <n v="88000000"/>
    <n v="13000000"/>
    <n v="75000000"/>
    <x v="2"/>
  </r>
  <r>
    <s v="0030572260031"/>
    <n v="30572260031"/>
    <x v="57"/>
    <s v="JAW-JK-CKG-0666"/>
    <s v="KEMUNING MATRAMAN"/>
    <s v="Kemuning Matraman"/>
    <x v="1"/>
    <s v="-"/>
    <s v="STIP 1"/>
    <s v="XL"/>
    <s v="TB"/>
    <s v="018411/TBG-TB/XL/MKT/01/2020"/>
    <d v="2020-01-14T00:00:00"/>
    <s v="-6.19756"/>
    <s v="106.8626"/>
    <s v="Jl. Supriadi Gg. AL Falah RT.002 RW.004 Kel. Utan Kayu Utara, Kec. Matraman, Jakarta Timur"/>
    <s v="JABODETABEK (INNER)"/>
    <x v="10"/>
    <s v="DKI JAKARTA"/>
    <s v="20"/>
    <s v="BAPS"/>
    <s v="BAPS"/>
    <s v="RFI"/>
    <m/>
    <m/>
    <s v="LUCKI DWI PRISTANTO"/>
    <s v="FAZAR GANNY"/>
    <s v="A. RACHMAN"/>
    <s v="LUCKI DWI PRISTANTO"/>
    <s v="FAZAR GANNY"/>
    <s v="M ARIF HELMI"/>
    <s v="SHERLY MAULANA"/>
    <x v="1"/>
    <m/>
    <d v="2020-08-26T23:08:54"/>
    <d v="2020-08-27T16:58:31"/>
    <d v="2020-08-28T00:00:00"/>
    <m/>
    <d v="2020-10-03T00:00:00"/>
    <d v="2020-08-27T08:59:17"/>
    <d v="2020-08-27T09:04:49"/>
    <d v="2020-08-27T09:28:17"/>
    <m/>
    <d v="2020-08-27T09:05:32"/>
    <d v="2020-09-21T00:00:00"/>
    <m/>
    <s v="363"/>
    <d v="2020-08-28T00:00:00"/>
    <d v="2020-08-10T00:00:00"/>
    <d v="2020-11-11T00:00:00"/>
    <d v="2020-11-06T00:00:00"/>
    <d v="2020-11-06T13:42:43"/>
    <s v="1985/TB/BAUF-XL/VIII/2020"/>
    <m/>
    <d v="1899-12-31T00:00:00"/>
    <m/>
    <d v="1899-12-31T00:00:00"/>
    <m/>
    <m/>
    <m/>
    <m/>
    <m/>
    <d v="2020-10-27T16:49:19"/>
    <d v="2020-10-03T00:00:00"/>
    <d v="2030-10-02T00:00:00"/>
    <d v="2020-01-14T00:00:00"/>
    <d v="2020-07-24T00:00:00"/>
    <d v="2020-08-28T16:27:33"/>
    <d v="2020-08-03T00:00:00"/>
    <d v="2020-08-28T16:28:54"/>
    <m/>
    <m/>
    <s v="MP             "/>
    <s v="20                  "/>
    <s v="GF                  "/>
    <s v="1"/>
    <d v="2020-08-10T00:00:00"/>
    <d v="2021-02-12T11:03:42"/>
    <d v="2020-12-15T00:00:00"/>
    <m/>
    <s v="RFL"/>
    <d v="2020-08-28T00:00:00"/>
    <s v="OPM-SSTA/XI/2020/0303"/>
    <s v="okey"/>
    <d v="2020-12-22T11:18:03"/>
    <m/>
    <m/>
    <m/>
    <s v="541301474411"/>
    <d v="2020-09-21T00:00:00"/>
    <s v="PLN REGULER"/>
    <s v="Commitment New Roll Out 2020 Exp Dec 2020 - SRFI"/>
    <s v="OUTDOOR"/>
    <d v="2020-08-28T00:00:00"/>
    <s v="Sub Urban"/>
    <m/>
    <s v="Lumpsum &amp; Not Fasum"/>
    <m/>
    <m/>
    <m/>
    <m/>
    <x v="5"/>
  </r>
  <r>
    <s v="0030572270031"/>
    <n v="30572270031"/>
    <x v="58"/>
    <s v="JAW-JK-CKG-0667"/>
    <s v="KESATRIAN KEBON MANGGIS"/>
    <s v="Kesatrian Kebon Manggis"/>
    <x v="1"/>
    <s v="-"/>
    <s v="STIP 1"/>
    <s v="XL"/>
    <s v="TB"/>
    <s v="018412/TBG-TB/XL/MKT/01/2020"/>
    <d v="2020-01-14T00:00:00"/>
    <s v="-6.21026"/>
    <s v="106.85292"/>
    <s v="JL. Manggarai Utara 2  RT.01, RW 04 Kel. Manggarai Kec. Tebet Jakarta Selatan"/>
    <s v="JABODETABEK (INNER)"/>
    <x v="8"/>
    <s v="DKI JAKARTA"/>
    <s v="25"/>
    <s v="BAPS"/>
    <s v="BAPS"/>
    <s v="RFI"/>
    <m/>
    <m/>
    <s v="LUCKI DWI PRISTANTO"/>
    <s v="FAZAR GANNY"/>
    <s v="A. RACHMAN"/>
    <s v="LUCKI DWI PRISTANTO"/>
    <s v="FAZAR GANNY"/>
    <s v="M ARIF HELMI"/>
    <s v="SHERLY MAULANA"/>
    <x v="1"/>
    <m/>
    <d v="2020-06-14T23:03:52"/>
    <d v="2020-06-14T23:19:24"/>
    <d v="2020-06-29T00:00:00"/>
    <m/>
    <d v="2020-08-18T00:00:00"/>
    <m/>
    <d v="2020-06-14T23:08:03"/>
    <m/>
    <m/>
    <d v="2020-06-14T23:10:55"/>
    <d v="2020-08-12T00:00:00"/>
    <m/>
    <s v="363"/>
    <d v="2020-10-10T00:00:00"/>
    <d v="2020-09-10T00:00:00"/>
    <d v="2020-09-28T00:00:00"/>
    <d v="2020-09-24T00:00:00"/>
    <d v="2020-09-21T18:37:21"/>
    <s v="1870/TB/BAUF-XL/VI/2020"/>
    <m/>
    <d v="1899-12-31T00:00:00"/>
    <m/>
    <d v="1899-12-31T00:00:00"/>
    <m/>
    <m/>
    <m/>
    <m/>
    <m/>
    <d v="2020-08-28T17:54:58"/>
    <d v="2020-08-18T00:00:00"/>
    <d v="2030-08-17T00:00:00"/>
    <d v="2020-01-14T00:00:00"/>
    <d v="2020-06-16T00:00:00"/>
    <d v="2020-06-28T23:17:45"/>
    <d v="2020-06-16T00:00:00"/>
    <d v="2020-06-28T23:18:15"/>
    <m/>
    <m/>
    <s v="MP             "/>
    <s v="25                  "/>
    <s v="GF                  "/>
    <s v="1"/>
    <d v="2020-09-30T00:00:00"/>
    <d v="2020-11-30T10:24:05"/>
    <d v="2020-11-27T00:00:00"/>
    <m/>
    <s v="RFL"/>
    <d v="2020-06-15T00:00:00"/>
    <s v="OPM-SSTA/X/2020/0241"/>
    <s v="OK sesuai hasil cek AFO &amp; OME"/>
    <d v="2020-10-28T12:49:06"/>
    <m/>
    <m/>
    <m/>
    <s v="544104322022"/>
    <d v="2020-08-12T00:00:00"/>
    <s v="PLN REGULER"/>
    <s v="Commitment New Roll Out 2020 Exp Dec 2020 - SRFI"/>
    <s v="OUTDOOR"/>
    <d v="2020-06-29T00:00:00"/>
    <s v="Sub Urban"/>
    <m/>
    <s v="Lumpsum &amp; Fasum"/>
    <m/>
    <m/>
    <m/>
    <m/>
    <x v="7"/>
  </r>
  <r>
    <s v="0030572290031"/>
    <n v="30572290031"/>
    <x v="59"/>
    <s v="JAW-JK-TJP-0622"/>
    <s v="TOL PELABUHAN ANCOL"/>
    <s v="Tol Pelabuhan Ancol"/>
    <x v="1"/>
    <s v="-"/>
    <s v="STIP 1"/>
    <s v="XL"/>
    <s v="TB"/>
    <s v="018414/TBG-TB/XL/MKT/01/2020"/>
    <d v="2020-01-14T00:00:00"/>
    <s v="-6.13057"/>
    <s v="106.83448"/>
    <s v="JL. Budi Mulia RT.002 RW.012 Kel. Pademangan Barat Kec. Pademangan Kota Jakarta Utara"/>
    <s v="JABODETABEK (INNER)"/>
    <x v="7"/>
    <s v="DKI JAKARTA"/>
    <s v="20"/>
    <s v="BAPS"/>
    <s v="BAPS"/>
    <s v="RFI"/>
    <m/>
    <m/>
    <s v="LUCKI DWI PRISTANTO"/>
    <s v="FANDI KURNIAWAN SAPUTRA"/>
    <s v="A. RACHMAN"/>
    <s v="LUCKI DWI PRISTANTO"/>
    <s v="FAZAR GANNY"/>
    <s v="M ARIF HELMI"/>
    <s v="SHERLY MAULANA"/>
    <x v="1"/>
    <m/>
    <d v="2020-09-30T16:41:51"/>
    <d v="2020-09-30T21:50:16"/>
    <d v="2020-09-30T00:00:00"/>
    <m/>
    <d v="2021-01-20T00:00:00"/>
    <d v="2020-09-30T21:02:22"/>
    <d v="2020-09-30T21:10:13"/>
    <d v="2020-09-30T21:41:29"/>
    <m/>
    <d v="2020-09-30T21:45:31"/>
    <d v="2020-11-22T00:00:00"/>
    <m/>
    <s v="363"/>
    <d v="2020-05-13T00:00:00"/>
    <d v="2020-12-24T00:00:00"/>
    <d v="2020-12-21T00:00:00"/>
    <d v="2020-12-16T00:00:00"/>
    <d v="2020-12-15T14:11:09"/>
    <s v="2031/TB/BAUF-XL/IX/2020"/>
    <m/>
    <d v="1899-12-31T00:00:00"/>
    <m/>
    <d v="1899-12-31T00:00:00"/>
    <m/>
    <m/>
    <m/>
    <m/>
    <m/>
    <d v="2020-11-29T22:02:42"/>
    <d v="2021-01-20T00:00:00"/>
    <d v="2026-01-19T00:00:00"/>
    <d v="2020-09-30T00:00:00"/>
    <d v="2020-04-22T00:00:00"/>
    <d v="2020-09-30T21:51:36"/>
    <d v="2020-09-08T00:00:00"/>
    <d v="2020-09-30T21:52:43"/>
    <m/>
    <m/>
    <s v="MP             "/>
    <s v="20                  "/>
    <s v="GF                  "/>
    <s v="1"/>
    <d v="2020-12-24T00:00:00"/>
    <d v="2021-03-19T07:47:31"/>
    <d v="2021-02-20T00:00:00"/>
    <m/>
    <s v="RFL"/>
    <d v="2020-10-02T00:00:00"/>
    <s v="OPM-SSTA/XII/2020/0184"/>
    <s v="okey"/>
    <d v="2020-12-22T11:19:24"/>
    <m/>
    <m/>
    <m/>
    <s v="542103760990"/>
    <d v="2020-11-22T00:00:00"/>
    <s v="PLN REGULER"/>
    <s v="Commitment New Roll Out 2020 Exp Dec 2020 - SRFI"/>
    <s v="OUTDOOR"/>
    <d v="2020-09-30T00:00:00"/>
    <s v="Urban"/>
    <m/>
    <s v="Lumpsum &amp; Not Fasum"/>
    <m/>
    <m/>
    <m/>
    <m/>
    <x v="15"/>
  </r>
  <r>
    <s v="0030572300031"/>
    <n v="30572300031"/>
    <x v="60"/>
    <s v="JAW-BT-TGR-0040"/>
    <s v="CIBUGEL CISOKA"/>
    <s v="Cibugel Cisoka"/>
    <x v="0"/>
    <s v="-"/>
    <s v="STIP 1"/>
    <s v="XL"/>
    <s v="TB"/>
    <s v="018415/TBG-TB/XL/MKT/01/2020"/>
    <d v="2020-01-14T00:00:00"/>
    <s v="-6.24997"/>
    <s v="106.42242"/>
    <s v="Kp. Cibugel Rt.009 Rw.004 Desa. Cibugel Kec. Cisoka Kab. Tangerang"/>
    <s v="JABODETABEK (OUTER)"/>
    <x v="2"/>
    <s v="BANTEN"/>
    <s v="42"/>
    <s v="BAPS"/>
    <s v="BAPS"/>
    <s v="RFI"/>
    <m/>
    <m/>
    <s v="LUCKI DWI PRISTANTO"/>
    <s v="FAZAR GANNY"/>
    <s v="A. RACHMAN"/>
    <s v="LUCKI DWI PRISTANTO"/>
    <s v="FAZAR GANNY"/>
    <s v="M ARIF HELMI"/>
    <s v="SHERLY MAULANA"/>
    <x v="8"/>
    <s v="PT. DATATEL INDONESIA"/>
    <d v="2020-02-28T11:58:59"/>
    <d v="2020-02-28T23:12:11"/>
    <d v="2020-04-16T00:00:00"/>
    <m/>
    <d v="2020-08-04T00:00:00"/>
    <d v="2020-02-28T14:03:52"/>
    <d v="2020-02-28T17:43:59"/>
    <d v="2020-02-28T23:09:13"/>
    <m/>
    <d v="2020-02-28T18:55:49"/>
    <d v="2020-06-26T00:00:00"/>
    <m/>
    <s v="363"/>
    <d v="2020-04-23T00:00:00"/>
    <d v="2020-03-22T00:00:00"/>
    <d v="2020-07-24T00:00:00"/>
    <d v="2020-06-26T00:00:00"/>
    <d v="2020-06-24T11:40:42"/>
    <s v="1790/TB/BAUF-XL/IV/2020"/>
    <m/>
    <d v="2020-03-20T08:41:00"/>
    <s v="PO/TB/20/N005576"/>
    <d v="2020-04-16T08:04:00"/>
    <m/>
    <m/>
    <m/>
    <m/>
    <m/>
    <d v="2020-06-15T16:16:22"/>
    <d v="2020-08-04T00:00:00"/>
    <d v="2030-08-03T00:00:00"/>
    <d v="2020-01-14T00:00:00"/>
    <d v="2020-03-17T00:00:00"/>
    <d v="2020-03-31T16:26:03"/>
    <d v="2020-03-18T00:00:00"/>
    <d v="2020-04-03T09:43:57"/>
    <d v="2020-09-28T00:00:00"/>
    <d v="2020-10-22T00:00:00"/>
    <s v="SST"/>
    <s v="42"/>
    <s v="GF"/>
    <s v="1"/>
    <d v="2020-03-20T00:00:00"/>
    <d v="2020-08-31T00:00:00"/>
    <d v="2020-07-15T00:00:00"/>
    <m/>
    <s v="RFL"/>
    <d v="2020-03-24T00:00:00"/>
    <s v="OPM-SSTA/VI/2020/0081"/>
    <s v="Oke"/>
    <d v="2020-06-28T10:27:41"/>
    <m/>
    <m/>
    <m/>
    <s v="566401509439"/>
    <d v="2020-06-26T00:00:00"/>
    <s v="PLN REGULER"/>
    <s v="Commitment New Roll Out 2020 Exp Dec 2020 - SRFI"/>
    <s v="OUTDOOR"/>
    <d v="2020-04-16T00:00:00"/>
    <s v="Sub Urban"/>
    <s v="RTC 1"/>
    <s v="Standard"/>
    <s v="PO/TB/20/N004038"/>
    <n v="88480000"/>
    <n v="11500000"/>
    <n v="76980000"/>
    <x v="14"/>
  </r>
  <r>
    <s v="0030572310031"/>
    <n v="30572310031"/>
    <x v="61"/>
    <s v="JAW-BT-TGR-0027"/>
    <s v="JATAKE RANGKASBITUNG"/>
    <s v="Jatake Rangkasbitung"/>
    <x v="0"/>
    <s v="-"/>
    <s v="STIP 1"/>
    <s v="XL"/>
    <s v="TB"/>
    <s v="018416/TBG-TB/XL/MKT/01/2020"/>
    <d v="2020-01-14T00:00:00"/>
    <s v="-6.33823"/>
    <s v="106.60076"/>
    <s v="Kp. Kandang RT.05 RW.01, Kel. Jatake Kec. Pagedangan, Kab. Tangerang Prov. Banten"/>
    <s v="JABODETABEK (OUTER)"/>
    <x v="2"/>
    <s v="BANTEN"/>
    <s v="42"/>
    <s v="BAPS"/>
    <s v="BAPS"/>
    <s v="RFI"/>
    <m/>
    <m/>
    <s v="LUCKI DWI PRISTANTO"/>
    <s v="FANDI KURNIAWAN SAPUTRA"/>
    <s v="A. RACHMAN"/>
    <s v="LUCKI DWI PRISTANTO"/>
    <s v="FAZAR GANNY"/>
    <s v="M ARIF HELMI"/>
    <s v="SHERLY MAULANA"/>
    <x v="9"/>
    <s v="PT. MANDIRA INFRA TRIPAKARTI"/>
    <d v="2020-03-24T18:56:26"/>
    <d v="2020-04-10T16:28:43"/>
    <d v="2020-05-12T00:00:00"/>
    <m/>
    <d v="2020-07-11T00:00:00"/>
    <d v="2020-04-08T14:01:23"/>
    <d v="2020-04-08T14:18:42"/>
    <d v="2020-04-10T10:53:12"/>
    <m/>
    <d v="2020-04-10T11:02:30"/>
    <d v="2020-07-02T00:00:00"/>
    <m/>
    <s v="363"/>
    <d v="2020-05-08T00:00:00"/>
    <d v="2020-04-15T00:00:00"/>
    <d v="2020-07-07T00:00:00"/>
    <d v="2020-07-21T00:00:00"/>
    <d v="2020-07-15T16:01:13"/>
    <s v="1831/TB/BAUF-XL/V/2020"/>
    <m/>
    <d v="2020-05-20T17:46:00"/>
    <s v="PO/TB/20/N007201"/>
    <d v="2020-05-14T19:15:00"/>
    <m/>
    <m/>
    <m/>
    <m/>
    <m/>
    <d v="2020-07-11T11:58:04"/>
    <d v="2020-07-11T00:00:00"/>
    <d v="2030-07-10T00:00:00"/>
    <d v="2020-01-14T00:00:00"/>
    <d v="2020-04-14T00:00:00"/>
    <d v="2020-04-18T20:17:54"/>
    <d v="2020-04-20T00:00:00"/>
    <d v="2020-04-21T14:28:20"/>
    <m/>
    <m/>
    <s v="SST"/>
    <s v="42"/>
    <s v="GF"/>
    <s v="1"/>
    <d v="2020-04-30T00:00:00"/>
    <d v="2020-10-30T00:00:00"/>
    <d v="2020-10-10T00:00:00"/>
    <m/>
    <s v="RFL"/>
    <d v="2020-04-12T00:00:00"/>
    <s v="OPM-SSTA/VIII/2020/0015"/>
    <s v="Oke"/>
    <d v="2020-08-14T16:10:19"/>
    <m/>
    <m/>
    <m/>
    <s v="566201432938"/>
    <d v="2020-07-02T00:00:00"/>
    <s v="PLN REGULER"/>
    <s v="Commitment New Roll Out 2020 Exp Dec 2020 - SRFI"/>
    <s v="OUTDOOR"/>
    <d v="2020-05-12T00:00:00"/>
    <s v="Rural"/>
    <s v="RTC 1"/>
    <s v="Standard"/>
    <s v="PO/TB/20/N007545"/>
    <n v="95000000"/>
    <n v="10500000"/>
    <n v="84500000"/>
    <x v="6"/>
  </r>
  <r>
    <s v="0030572320031"/>
    <n v="30572320031"/>
    <x v="62"/>
    <s v="JAW-BT-TGR-0028"/>
    <s v="JALAN RAYA KORELET"/>
    <s v="Jalan Raya Korelet"/>
    <x v="0"/>
    <s v="-"/>
    <s v="STIP 1"/>
    <s v="XL"/>
    <s v="TB"/>
    <s v="018417/TBG-TB/XL/MKT/01/2020"/>
    <d v="2020-01-14T00:00:00"/>
    <s v="-6.28927"/>
    <s v="106.53857"/>
    <s v="Kp. Serdang Rt.008 Rw.004 Ds. Serdang Kulon Kec. Panongan Kab. Tangerang"/>
    <s v="JABODETABEK (OUTER)"/>
    <x v="2"/>
    <s v="BANTEN"/>
    <s v="36"/>
    <s v="BAPS"/>
    <s v="BAPS"/>
    <s v="RFI"/>
    <m/>
    <m/>
    <s v="LUCKI DWI PRISTANTO"/>
    <s v="FAZAR GANNY"/>
    <s v="A. RACHMAN"/>
    <s v="LUCKI DWI PRISTANTO"/>
    <s v="FAZAR GANNY"/>
    <s v="M ARIF HELMI"/>
    <s v="SHERLY MAULANA"/>
    <x v="7"/>
    <s v="PT. ROTUA ABADI JAYA"/>
    <d v="2020-07-20T09:21:38"/>
    <d v="2020-07-29T16:51:48"/>
    <d v="2020-08-25T00:00:00"/>
    <m/>
    <d v="2020-12-02T00:00:00"/>
    <d v="2020-07-20T16:45:49"/>
    <d v="2020-07-22T15:16:02"/>
    <d v="2020-07-25T10:39:36"/>
    <m/>
    <d v="2020-07-29T10:12:01"/>
    <m/>
    <m/>
    <s v="363"/>
    <d v="2020-08-20T00:00:00"/>
    <d v="2020-07-15T00:00:00"/>
    <d v="2020-10-30T00:00:00"/>
    <d v="2020-10-30T00:00:00"/>
    <d v="2020-10-28T21:47:23"/>
    <s v="1970/TB/BAUF-XL/VIII/2020"/>
    <m/>
    <d v="2020-08-21T20:39:00"/>
    <s v="PO/TB/20/N012542"/>
    <d v="2020-09-02T19:10:00"/>
    <m/>
    <m/>
    <m/>
    <m/>
    <m/>
    <d v="2020-10-24T17:52:21"/>
    <d v="2020-12-02T00:00:00"/>
    <d v="2030-12-01T00:00:00"/>
    <d v="2020-01-14T00:00:00"/>
    <d v="2020-07-08T00:00:00"/>
    <d v="2020-08-05T19:26:14"/>
    <d v="2020-07-27T00:00:00"/>
    <d v="2020-08-20T15:11:48"/>
    <m/>
    <m/>
    <s v="SST            "/>
    <s v="36                  "/>
    <s v="GF                  "/>
    <s v="1"/>
    <d v="2020-07-15T00:00:00"/>
    <d v="2021-02-28T00:00:00"/>
    <d v="2021-02-10T00:00:00"/>
    <m/>
    <s v="RFL"/>
    <d v="2020-07-29T00:00:00"/>
    <m/>
    <s v="-"/>
    <m/>
    <m/>
    <m/>
    <m/>
    <m/>
    <d v="1899-12-31T00:00:00"/>
    <m/>
    <s v="Commitment New Roll Out 2020 Exp Dec 2020 - SRFI"/>
    <s v="OUTDOOR"/>
    <d v="2020-08-24T00:00:00"/>
    <s v="Sub Urban"/>
    <s v="RTC 1"/>
    <s v="Standard"/>
    <s v="PO/TB/20/N012116"/>
    <n v="93000000"/>
    <n v="36000000"/>
    <n v="57000000"/>
    <x v="4"/>
  </r>
  <r>
    <s v="0030572330031"/>
    <n v="30572330031"/>
    <x v="63"/>
    <s v="JAW-JK-KYB-0107"/>
    <s v="KENANGA TERUSAN PASMING"/>
    <s v="Kenanga Terusan Pasming"/>
    <x v="1"/>
    <s v="-"/>
    <s v="STIP 1"/>
    <s v="XL"/>
    <s v="TB"/>
    <s v="018418/TBG-TB/XL/MKT/01/2020"/>
    <d v="2020-01-14T00:00:00"/>
    <s v="-6.28703"/>
    <s v="106.81689"/>
    <s v="Kenanga RT.012 RW 02 kel.cilandak timur kec. pasar minggu "/>
    <s v="JABODETABEK (INNER)"/>
    <x v="8"/>
    <s v="DKI JAKARTA"/>
    <s v="20"/>
    <s v="BAPS"/>
    <s v="BAPS"/>
    <s v="RFI"/>
    <m/>
    <m/>
    <s v="LUCKI DWI PRISTANTO"/>
    <s v="FAZAR GANNY"/>
    <s v="A. RACHMAN"/>
    <s v="LUCKI DWI PRISTANTO"/>
    <s v="FAZAR GANNY"/>
    <s v="PUSPITO HADIYANTO"/>
    <s v="SHERLY MAULANA"/>
    <x v="1"/>
    <m/>
    <d v="2020-02-27T19:13:52"/>
    <d v="2020-02-27T20:12:39"/>
    <d v="2020-03-26T00:00:00"/>
    <m/>
    <d v="2020-06-29T00:00:00"/>
    <m/>
    <d v="2020-02-27T19:18:50"/>
    <m/>
    <m/>
    <d v="2020-02-27T19:21:15"/>
    <d v="2020-06-26T00:00:00"/>
    <m/>
    <s v="363"/>
    <d v="2020-03-27T00:00:00"/>
    <d v="2020-04-30T00:00:00"/>
    <d v="2020-07-20T00:00:00"/>
    <d v="2020-06-30T00:00:00"/>
    <d v="2020-06-27T12:45:18"/>
    <s v="1783/TB/BAUF-XL/III/2020"/>
    <m/>
    <d v="1899-12-31T00:00:00"/>
    <m/>
    <d v="1899-12-31T00:00:00"/>
    <m/>
    <m/>
    <m/>
    <m/>
    <m/>
    <d v="2020-05-25T21:03:14"/>
    <d v="2020-06-29T00:00:00"/>
    <d v="2030-06-28T00:00:00"/>
    <d v="2020-01-14T00:00:00"/>
    <d v="2020-03-06T00:00:00"/>
    <d v="2020-03-26T20:56:08"/>
    <d v="2020-03-10T00:00:00"/>
    <d v="2020-03-26T20:56:50"/>
    <m/>
    <m/>
    <s v="MP"/>
    <s v="20"/>
    <s v="GF"/>
    <s v="1"/>
    <d v="2020-05-29T00:00:00"/>
    <m/>
    <d v="2020-09-15T00:00:00"/>
    <m/>
    <s v="RFL"/>
    <d v="2020-05-15T00:00:00"/>
    <s v="OPM-SSTA/VIII/2020/0071"/>
    <s v="OK - sesuai hasil cek OME &amp; AFO"/>
    <d v="2020-09-15T15:25:22"/>
    <m/>
    <m/>
    <m/>
    <s v="543105613743"/>
    <d v="2020-06-26T00:00:00"/>
    <s v="PLN REGULER"/>
    <s v="Commitment New Roll Out 2020 Exp Dec 2020 - SRFI"/>
    <s v="OUTDOOR"/>
    <d v="2020-03-26T00:00:00"/>
    <s v="Sub Urban"/>
    <m/>
    <s v="Lumpsum &amp; Fasum"/>
    <m/>
    <m/>
    <m/>
    <m/>
    <x v="7"/>
  </r>
  <r>
    <s v="0030572350031"/>
    <n v="30572350031"/>
    <x v="64"/>
    <s v="JAW-JK-CKG-0668"/>
    <s v="GANG INDUK PASAR REBO"/>
    <s v="Gang Induk Pasar Rebo"/>
    <x v="1"/>
    <s v="-"/>
    <s v="STIP 1"/>
    <s v="XL"/>
    <s v="TB"/>
    <s v="018420/TBG-TB/XL/MKT/01/2020"/>
    <d v="2020-01-14T00:00:00"/>
    <s v="-6.29353"/>
    <s v="106.86324"/>
    <s v="JL. H. Ali Gang Mundu II RT.04 RW.04 Kel. Tengah Kec. Keramat Jati Kota Jakarta Timur"/>
    <s v="JABODETABEK (INNER)"/>
    <x v="10"/>
    <s v="DKI JAKARTA"/>
    <s v="20"/>
    <s v="BAPS"/>
    <s v="BAPS"/>
    <s v="RFI"/>
    <m/>
    <m/>
    <s v="LUCKI DWI PRISTANTO"/>
    <s v="FAZAR GANNY"/>
    <s v="A. RACHMAN"/>
    <s v="LUCKI DWI PRISTANTO"/>
    <s v="FAZAR GANNY"/>
    <s v="PUSPITO HADIYANTO"/>
    <s v="SHERLY MAULANA"/>
    <x v="1"/>
    <m/>
    <d v="2020-07-30T23:40:01"/>
    <d v="2020-07-31T21:04:54"/>
    <d v="2020-09-30T00:00:00"/>
    <m/>
    <d v="2020-11-17T00:00:00"/>
    <d v="2020-07-31T09:05:04"/>
    <d v="2020-07-31T09:35:02"/>
    <d v="2020-07-31T09:45:01"/>
    <m/>
    <d v="2020-07-31T09:36:51"/>
    <d v="2020-09-22T00:00:00"/>
    <m/>
    <s v="363"/>
    <d v="2020-09-20T00:00:00"/>
    <d v="2020-08-05T00:00:00"/>
    <d v="2020-10-30T00:00:00"/>
    <d v="2020-10-19T00:00:00"/>
    <d v="2020-10-15T18:14:05"/>
    <s v="1977/TB/BAUF-XL/IX/2020"/>
    <m/>
    <d v="1899-12-31T00:00:00"/>
    <m/>
    <d v="1899-12-31T00:00:00"/>
    <m/>
    <m/>
    <m/>
    <m/>
    <m/>
    <d v="2020-11-29T15:37:58"/>
    <d v="2020-11-17T00:00:00"/>
    <d v="2030-11-16T00:00:00"/>
    <d v="2020-01-14T00:00:00"/>
    <d v="2020-09-11T00:00:00"/>
    <d v="2020-09-30T15:28:38"/>
    <d v="2020-09-30T00:00:00"/>
    <d v="2020-09-30T15:29:37"/>
    <m/>
    <m/>
    <s v="MP             "/>
    <s v="20                  "/>
    <s v="GF                  "/>
    <s v="1"/>
    <d v="2020-08-05T00:00:00"/>
    <d v="2021-01-15T18:31:28"/>
    <d v="2021-02-20T00:00:00"/>
    <m/>
    <s v="RFL"/>
    <d v="2020-07-31T00:00:00"/>
    <s v="OPM-SSTA/XII/2020/0183"/>
    <s v="okey"/>
    <d v="2020-12-22T11:28:43"/>
    <m/>
    <m/>
    <m/>
    <s v="547104785433"/>
    <d v="2020-09-22T00:00:00"/>
    <s v="PLN REGULER"/>
    <s v="Commitment New Roll Out 2020 Exp Dec 2020 - SRFI"/>
    <s v="OUTDOOR"/>
    <d v="2020-09-30T15:37:58"/>
    <s v="Sub Urban"/>
    <m/>
    <s v="Lumpsum &amp; Not Fasum"/>
    <m/>
    <m/>
    <m/>
    <m/>
    <x v="6"/>
  </r>
  <r>
    <s v="0030572360031"/>
    <n v="30572360031"/>
    <x v="65"/>
    <s v="JAW-JB-CBI-0082"/>
    <s v="PENGASINAN GUNUNG SINDUR"/>
    <s v="Pengasinan Gunung Sindur"/>
    <x v="0"/>
    <s v="-"/>
    <s v="STIP 1"/>
    <s v="XL"/>
    <s v="TB"/>
    <s v="018421/TBG-TB/XL/MKT/01/2020"/>
    <d v="2020-01-14T00:00:00"/>
    <s v="-6.37664"/>
    <s v="106.69255"/>
    <s v="Kp Kebon Kopi RT. 05 RW. 06 Desa Pengasinan Kec. Gunung Sindur, Kab. Bogor Jawa Barat"/>
    <s v="JABODETABEK (OUTER)"/>
    <x v="3"/>
    <s v="JAWA BARAT"/>
    <s v="42"/>
    <s v="BAPS"/>
    <s v="BAPS"/>
    <s v="RFI"/>
    <m/>
    <m/>
    <s v="LUCKI DWI PRISTANTO"/>
    <s v="FAZAR GANNY"/>
    <s v="A. RACHMAN"/>
    <s v="LUCKI DWI PRISTANTO"/>
    <s v="FAZAR GANNY"/>
    <s v="M ARIF HELMI"/>
    <s v="SHERLY MAULANA"/>
    <x v="4"/>
    <s v="PT. DWI SAMUDERA RAYA"/>
    <d v="2020-05-05T14:42:04"/>
    <d v="2020-06-05T19:25:47"/>
    <d v="2020-06-30T00:00:00"/>
    <m/>
    <d v="2020-10-14T00:00:00"/>
    <d v="2020-05-05T15:34:37"/>
    <d v="2020-05-28T09:45:23"/>
    <d v="2020-05-29T13:56:16"/>
    <m/>
    <d v="2020-05-29T13:56:41"/>
    <d v="2020-12-11T00:00:00"/>
    <m/>
    <s v="363"/>
    <d v="2020-06-28T00:00:00"/>
    <d v="2020-06-06T00:00:00"/>
    <d v="2020-10-20T00:00:00"/>
    <d v="2020-10-09T00:00:00"/>
    <d v="2020-10-05T11:30:23"/>
    <s v="1919/TB/BAUF-XL/VI/2020"/>
    <m/>
    <d v="2020-06-10T15:45:00"/>
    <s v="PO/TB/20/N010203"/>
    <d v="2020-07-10T10:31:00"/>
    <m/>
    <m/>
    <m/>
    <m/>
    <m/>
    <d v="2020-08-29T18:22:23"/>
    <d v="2020-10-14T00:00:00"/>
    <d v="2030-10-13T00:00:00"/>
    <d v="2020-01-14T00:00:00"/>
    <d v="2020-06-07T00:00:00"/>
    <d v="2020-06-29T14:59:08"/>
    <d v="2020-06-14T00:00:00"/>
    <d v="2020-06-30T10:18:16"/>
    <m/>
    <m/>
    <s v="SST"/>
    <s v="42"/>
    <s v="GF"/>
    <s v="1"/>
    <d v="2020-05-29T00:00:00"/>
    <d v="2021-02-26T00:00:00"/>
    <d v="2020-10-23T00:00:00"/>
    <m/>
    <s v="RFL"/>
    <d v="2020-05-29T00:00:00"/>
    <s v="OPM-SSTA/IX/2020/0065"/>
    <s v="Approved"/>
    <d v="2020-09-29T19:53:53"/>
    <m/>
    <m/>
    <m/>
    <s v="538733551416"/>
    <d v="2020-12-11T00:00:00"/>
    <s v="PLN REGULER"/>
    <s v="Commitment New Roll Out 2020 Exp Dec 2020 - SRFI"/>
    <s v="OUTDOOR"/>
    <d v="2020-06-30T00:00:00"/>
    <s v="Rural"/>
    <s v="RTC 1"/>
    <s v="Standard"/>
    <s v="PO/TB/20/N008417"/>
    <n v="97500000"/>
    <n v="18000000"/>
    <n v="79500000"/>
    <x v="2"/>
  </r>
  <r>
    <s v="0030572380031"/>
    <n v="30572380031"/>
    <x v="66"/>
    <s v="JAW-JK-TJP-0625"/>
    <s v="JALAN PANTAI INDAH SELATAN 2"/>
    <s v="Jalan Pantai Indah Selatan 2"/>
    <x v="1"/>
    <s v="-"/>
    <s v="STIP 1"/>
    <s v="XL"/>
    <s v="TB"/>
    <s v="018423/TBG-TB/XL/MKT/01/2020"/>
    <d v="2020-01-14T00:00:00"/>
    <s v="-6.12853"/>
    <s v="106.75957"/>
    <s v="Jalan Mandara Indah VII RT.10 RW.06 Kel. Kapuk Muara Kec.Penjaringan Jakarta Utara."/>
    <s v="JABODETABEK (INNER)"/>
    <x v="7"/>
    <s v="DKI JAKARTA"/>
    <s v="20"/>
    <s v="RFI"/>
    <s v="CME"/>
    <s v="SRFI"/>
    <m/>
    <m/>
    <s v="LUCKI DWI PRISTANTO"/>
    <s v="FANDI KURNIAWAN SAPUTRA"/>
    <s v="A. RACHMAN"/>
    <s v="LUCKI DWI PRISTANTO"/>
    <s v="FAZAR GANNY"/>
    <s v="PUSPITO HADIYANTO"/>
    <s v="SHERLY MAULANA"/>
    <x v="1"/>
    <m/>
    <d v="2020-11-20T10:46:16"/>
    <d v="2020-11-21T17:34:19"/>
    <d v="2020-11-29T00:00:00"/>
    <m/>
    <m/>
    <m/>
    <d v="2020-11-20T10:48:26"/>
    <m/>
    <m/>
    <d v="2020-11-20T10:49:06"/>
    <m/>
    <m/>
    <s v="363"/>
    <d v="2020-11-30T00:00:00"/>
    <d v="2020-11-15T00:00:00"/>
    <d v="2021-01-22T00:00:00"/>
    <m/>
    <m/>
    <m/>
    <m/>
    <d v="1899-12-31T00:00:00"/>
    <m/>
    <d v="1899-12-31T00:00:00"/>
    <m/>
    <m/>
    <m/>
    <m/>
    <m/>
    <d v="2021-01-28T16:31:37"/>
    <m/>
    <m/>
    <d v="2020-01-14T00:00:00"/>
    <d v="2020-11-06T00:00:00"/>
    <d v="2020-11-23T11:22:24"/>
    <d v="2020-11-07T00:00:00"/>
    <d v="2020-11-23T11:24:22"/>
    <m/>
    <m/>
    <s v="MP             "/>
    <s v="20                  "/>
    <s v="GF                  "/>
    <s v="1"/>
    <d v="2020-11-10T00:00:00"/>
    <d v="2021-05-10T09:46:22"/>
    <d v="2021-02-20T00:00:00"/>
    <m/>
    <s v="RFL"/>
    <d v="2020-11-23T00:00:00"/>
    <m/>
    <s v="-"/>
    <m/>
    <m/>
    <m/>
    <m/>
    <m/>
    <d v="1899-12-31T00:00:00"/>
    <m/>
    <s v="Commitment New Roll Out 2020 Exp Dec 2020 - SRFI"/>
    <s v="OUTDOOR"/>
    <d v="2020-11-29T00:00:00"/>
    <s v="Sub Urban"/>
    <m/>
    <s v="Lumpsum &amp; Fasum"/>
    <m/>
    <m/>
    <m/>
    <m/>
    <x v="7"/>
  </r>
  <r>
    <s v="0030572400031"/>
    <n v="30572400031"/>
    <x v="67"/>
    <s v="JAW-JB-CBI-0084"/>
    <s v="SABILILAH CITEUREUP"/>
    <s v="Sabililah Citeureup"/>
    <x v="0"/>
    <s v="-"/>
    <s v="STIP 1"/>
    <s v="XL"/>
    <s v="TB"/>
    <s v="018425/TBG-TB/XL/MKT/01/2020"/>
    <d v="2020-01-14T00:00:00"/>
    <s v="-6.48569"/>
    <s v="106.89312"/>
    <s v="Kp. Lemper Rt 002 Rw 006 Desa Citeureup Kecamtan Citeureup Kabupaten Bogor"/>
    <s v="JABODETABEK (OUTER)"/>
    <x v="3"/>
    <s v="JAWA BARAT"/>
    <s v="42"/>
    <s v="BAPS"/>
    <s v="BAPS"/>
    <s v="RFI"/>
    <m/>
    <m/>
    <s v="LUCKI DWI PRISTANTO"/>
    <s v="FANDI KURNIAWAN SAPUTRA"/>
    <s v="A. RACHMAN"/>
    <s v="LUCKI DWI PRISTANTO"/>
    <s v="FAZAR GANNY"/>
    <s v="PUSPITO HADIYANTO"/>
    <s v="SHERLY MAULANA"/>
    <x v="0"/>
    <s v="PT. CATUR TUNGGAL PRIMA"/>
    <d v="2020-07-22T17:07:36"/>
    <d v="2020-07-23T22:10:29"/>
    <d v="2020-08-31T00:00:00"/>
    <m/>
    <d v="2020-12-02T00:00:00"/>
    <d v="2020-07-22T17:30:00"/>
    <d v="2020-07-22T18:13:30"/>
    <d v="2020-07-23T14:19:33"/>
    <m/>
    <d v="2020-07-23T14:19:08"/>
    <d v="2020-12-09T00:00:00"/>
    <m/>
    <s v="363"/>
    <d v="2020-08-30T00:00:00"/>
    <d v="2020-07-15T00:00:00"/>
    <d v="2020-11-20T00:00:00"/>
    <d v="2020-11-20T00:00:00"/>
    <d v="2020-11-18T10:51:51"/>
    <s v="1971/TB/BAUF-XL/VIII/2020"/>
    <m/>
    <d v="2020-08-02T16:59:00"/>
    <s v="PO/TB/20/N012279"/>
    <d v="2020-08-26T20:01:00"/>
    <m/>
    <m/>
    <m/>
    <m/>
    <m/>
    <d v="2020-10-30T15:08:23"/>
    <d v="2020-12-02T00:00:00"/>
    <d v="2030-12-01T00:00:00"/>
    <d v="2020-01-14T00:00:00"/>
    <d v="2020-07-24T00:00:00"/>
    <d v="2020-08-29T19:08:29"/>
    <d v="2020-07-23T00:00:00"/>
    <d v="2020-08-31T12:11:54"/>
    <m/>
    <m/>
    <s v="SST            "/>
    <s v="42                  "/>
    <s v="GF                  "/>
    <s v="1"/>
    <d v="2020-07-15T00:00:00"/>
    <d v="2020-12-31T00:00:00"/>
    <d v="2021-01-20T00:00:00"/>
    <m/>
    <s v="RFL"/>
    <d v="2020-08-26T00:00:00"/>
    <m/>
    <s v="-"/>
    <m/>
    <m/>
    <m/>
    <m/>
    <s v="538614708742"/>
    <d v="2020-12-09T00:00:00"/>
    <s v="PLN REGULER"/>
    <s v="Commitment New Roll Out 2020 Exp Dec 2020 - SRFI"/>
    <s v="OUTDOOR"/>
    <d v="2020-08-31T00:00:00"/>
    <s v="Urban"/>
    <s v="RTC 1"/>
    <s v="Standard"/>
    <s v="PO/TB/20/N011211"/>
    <n v="98000000"/>
    <n v="25500000"/>
    <n v="72500000"/>
    <x v="5"/>
  </r>
  <r>
    <s v="0030572410031"/>
    <n v="30572410031"/>
    <x v="68"/>
    <s v="JAW-BT-CPT-0460"/>
    <s v="VILLA MELATI MAS RAYA"/>
    <s v="VILLA MELATI MAS RAYA"/>
    <x v="1"/>
    <s v="-"/>
    <s v="STIP 1"/>
    <s v="XL"/>
    <s v="TB"/>
    <s v="018426/TBG-TB/XL/MKT/01/2020"/>
    <d v="2020-01-14T00:00:00"/>
    <s v="-6.25737"/>
    <s v="106.66547"/>
    <s v="Jl Jati, RT 12 RW 08 Kel. Pondok Jagung, Kec. Serpong Utara, Kota Tangerang Selatan"/>
    <s v="JABODETABEK (OUTER)"/>
    <x v="11"/>
    <s v="BANTEN"/>
    <s v="25"/>
    <s v="BAPS"/>
    <s v="BAPS"/>
    <s v="RFI"/>
    <m/>
    <m/>
    <s v="LUCKI DWI PRISTANTO"/>
    <s v="FAZAR GANNY"/>
    <s v="A. RACHMAN"/>
    <s v="LUCKI DWI PRISTANTO"/>
    <s v="FAZAR GANNY"/>
    <s v="M ARIF HELMI"/>
    <s v="SHERLY MAULANA"/>
    <x v="10"/>
    <s v="PT. AULIA DANARDANA"/>
    <d v="2020-08-04T09:53:34"/>
    <d v="2020-08-31T18:28:33"/>
    <d v="2020-08-31T00:00:00"/>
    <m/>
    <d v="2020-12-02T00:00:00"/>
    <d v="2020-08-04T10:47:56"/>
    <d v="2020-08-04T10:56:58"/>
    <d v="2020-08-31T18:25:15"/>
    <m/>
    <d v="2020-08-04T10:58:10"/>
    <m/>
    <m/>
    <s v="363"/>
    <d v="2020-08-28T00:00:00"/>
    <d v="2020-08-10T00:00:00"/>
    <d v="2020-12-21T00:00:00"/>
    <d v="2020-11-30T00:00:00"/>
    <d v="2020-11-27T13:34:39"/>
    <s v="1980/TB/BAUF-XL/VIII/2020"/>
    <m/>
    <d v="1899-12-31T00:00:00"/>
    <s v="PO/TB/20/N012489"/>
    <d v="2020-09-01T19:23:00"/>
    <m/>
    <m/>
    <m/>
    <m/>
    <m/>
    <d v="2020-10-30T20:25:32"/>
    <d v="2020-12-02T00:00:00"/>
    <d v="2030-12-01T00:00:00"/>
    <d v="2020-01-14T00:00:00"/>
    <d v="2020-07-07T00:00:00"/>
    <d v="2020-08-31T19:27:32"/>
    <d v="2020-07-11T00:00:00"/>
    <d v="2020-08-31T19:29:21"/>
    <m/>
    <m/>
    <s v="POLE           "/>
    <s v="25                  "/>
    <s v="GF                  "/>
    <s v="1"/>
    <d v="2020-08-10T00:00:00"/>
    <d v="2021-02-15T19:42:20"/>
    <d v="2021-02-10T00:00:00"/>
    <m/>
    <s v="RFL"/>
    <d v="2020-08-31T00:00:00"/>
    <m/>
    <s v="-"/>
    <m/>
    <m/>
    <m/>
    <m/>
    <m/>
    <d v="1899-12-31T00:00:00"/>
    <m/>
    <s v="Commitment New Roll Out 2020 Exp Dec 2020 - SRFI"/>
    <s v="OUTDOOR"/>
    <d v="2020-08-31T00:00:00"/>
    <s v="Sub Urban"/>
    <m/>
    <s v="Standard"/>
    <s v="PO/TB/20/N015056 &amp; PO/TB/20/N015149"/>
    <n v="75000000"/>
    <n v="12000000"/>
    <n v="63000000"/>
    <x v="4"/>
  </r>
  <r>
    <s v="0030572420031"/>
    <n v="30572420031"/>
    <x v="69"/>
    <s v="JAW-BT-CPT-0461"/>
    <s v="KOMPLEKS SASMITA LOKA PAMULANG BARAT"/>
    <s v="KOMPLEKS SASMITA LOKA PAMULANG BARAT"/>
    <x v="1"/>
    <s v="-"/>
    <s v="STIP 1"/>
    <s v="XL"/>
    <s v="TB"/>
    <s v="018427/TBG-TB/XL/MKT/01/2020"/>
    <d v="2020-01-14T00:00:00"/>
    <s v="-6.35194"/>
    <s v="106.73246"/>
    <s v="Jl. Ketapang II Rt 007/005 Kel. Pamulang Barat_x000a_Kec. Pamulang Kota Tangerang Selatan"/>
    <s v="JABODETABEK (OUTER)"/>
    <x v="11"/>
    <s v="BANTEN"/>
    <s v="25"/>
    <s v="BAPS"/>
    <s v="BAPS"/>
    <s v="RFI"/>
    <m/>
    <m/>
    <s v="LUCKI DWI PRISTANTO"/>
    <s v="FANDI KURNIAWAN SAPUTRA"/>
    <s v="A. RACHMAN"/>
    <s v="LUCKI DWI PRISTANTO"/>
    <s v="FAZAR GANNY"/>
    <s v="M ARIF HELMI"/>
    <s v="SHERLY MAULANA"/>
    <x v="6"/>
    <s v="PT. TURANGGA EMPAT TIGA"/>
    <d v="2020-06-04T11:49:44"/>
    <d v="2020-06-12T16:42:50"/>
    <d v="2020-06-28T00:00:00"/>
    <m/>
    <d v="2020-09-30T00:00:00"/>
    <d v="2020-06-04T12:18:32"/>
    <d v="2020-06-04T12:24:16"/>
    <d v="2020-06-04T22:49:40"/>
    <m/>
    <d v="2020-06-04T12:38:29"/>
    <d v="2020-12-10T00:00:00"/>
    <m/>
    <s v="363"/>
    <d v="2020-06-26T00:00:00"/>
    <d v="2020-06-06T00:00:00"/>
    <d v="2020-10-20T00:00:00"/>
    <d v="2020-10-08T00:00:00"/>
    <d v="2020-10-05T11:25:35"/>
    <s v="1868/TB/BAUF-XL/VI/2020"/>
    <m/>
    <d v="1899-12-31T00:00:00"/>
    <s v="PO/TB/20/N011840"/>
    <d v="2020-08-13T20:17:00"/>
    <m/>
    <m/>
    <m/>
    <m/>
    <m/>
    <d v="2020-08-27T21:12:04"/>
    <d v="2020-09-30T00:00:00"/>
    <d v="2030-09-29T00:00:00"/>
    <d v="2020-01-14T00:00:00"/>
    <d v="2020-05-31T00:00:00"/>
    <d v="2020-06-28T08:19:24"/>
    <d v="2020-06-01T00:00:00"/>
    <d v="2020-06-28T08:26:44"/>
    <m/>
    <m/>
    <s v="MP"/>
    <s v="25"/>
    <s v="GF"/>
    <s v="1"/>
    <d v="2020-06-30T00:00:00"/>
    <d v="2021-03-31T00:00:00"/>
    <d v="2020-10-23T00:00:00"/>
    <m/>
    <s v="RFL"/>
    <d v="2020-06-30T00:00:00"/>
    <s v="OPM-SSTA/VII/2020/0113"/>
    <s v="Approved"/>
    <d v="2020-09-29T19:54:17"/>
    <m/>
    <m/>
    <m/>
    <s v="543602591889"/>
    <d v="2020-12-10T00:00:00"/>
    <s v="PLN REGULER"/>
    <s v="Commitment New Roll Out 2020 Exp Dec 2020 - SRFI"/>
    <s v="OUTDOOR"/>
    <d v="2020-06-28T00:00:00"/>
    <s v="Sub Urban"/>
    <m/>
    <s v="Standard"/>
    <s v="PO/TB/20/N008959 &amp; PO/TB/20/N009125"/>
    <n v="68000000"/>
    <n v="15000000"/>
    <n v="53000000"/>
    <x v="5"/>
  </r>
  <r>
    <s v="0030572440031"/>
    <n v="30572440031"/>
    <x v="70"/>
    <s v="JAW-BT-CPT-0463"/>
    <s v="UNIVERSITAS TERBUKA PAMULANG"/>
    <s v="UNIVERSITAS TERBUKA PAMULANG"/>
    <x v="1"/>
    <s v="-"/>
    <s v="STIP 1"/>
    <s v="XL"/>
    <s v="TB"/>
    <s v="018429/TBG-TB/XL/MKT/01/2020"/>
    <d v="2020-01-14T00:00:00"/>
    <s v="-6.33943"/>
    <s v="106.75983"/>
    <s v="Jl. Talas III No.37,RT.03/RW.02, Kel. Pondok Cabe Ilir Kec. Pamulang, Kota Tangerang Selatan Prov. Banten"/>
    <s v="JABODETABEK (OUTER)"/>
    <x v="11"/>
    <s v="BANTEN"/>
    <s v="20"/>
    <s v="BAPS"/>
    <s v="BAPS"/>
    <s v="RFI"/>
    <m/>
    <m/>
    <s v="LUCKI DWI PRISTANTO"/>
    <s v="FAZAR GANNY"/>
    <s v="A. RACHMAN"/>
    <s v="LUCKI DWI PRISTANTO"/>
    <s v="FAZAR GANNY"/>
    <s v="M ARIF HELMI"/>
    <s v="SHERLY MAULANA"/>
    <x v="6"/>
    <s v="PT. TURANGGA EMPAT TIGA"/>
    <d v="2020-08-21T12:15:37"/>
    <d v="2020-08-21T13:33:53"/>
    <d v="2020-08-31T00:00:00"/>
    <m/>
    <d v="2020-12-02T00:00:00"/>
    <d v="2020-08-21T12:27:21"/>
    <d v="2020-08-21T12:30:24"/>
    <d v="2020-08-21T12:42:52"/>
    <m/>
    <d v="2020-08-21T12:30:54"/>
    <d v="2020-12-10T00:00:00"/>
    <m/>
    <s v="363"/>
    <d v="2020-09-07T00:00:00"/>
    <d v="2020-08-20T00:00:00"/>
    <d v="2020-11-20T00:00:00"/>
    <d v="2020-11-23T00:00:00"/>
    <d v="2020-11-19T14:31:21"/>
    <s v="1982/TB/BAUF-XL/VIII/2020"/>
    <m/>
    <d v="1899-12-31T00:00:00"/>
    <s v="PO/TB/20/N013696"/>
    <d v="2020-09-22T15:01:00"/>
    <m/>
    <m/>
    <m/>
    <m/>
    <m/>
    <d v="2020-10-30T18:00:54"/>
    <d v="2020-12-02T00:00:00"/>
    <d v="2030-12-01T00:00:00"/>
    <d v="2020-01-14T00:00:00"/>
    <d v="2020-08-14T00:00:00"/>
    <d v="2020-08-27T20:11:46"/>
    <d v="2020-08-15T00:00:00"/>
    <d v="2020-08-27T20:12:05"/>
    <m/>
    <m/>
    <s v="POLE           "/>
    <s v="20                  "/>
    <s v="GF                  "/>
    <s v="1"/>
    <d v="2020-08-20T00:00:00"/>
    <d v="2021-02-05T14:25:00"/>
    <d v="2021-02-10T00:00:00"/>
    <m/>
    <s v="RFL"/>
    <d v="2020-08-21T00:00:00"/>
    <m/>
    <s v="-"/>
    <m/>
    <m/>
    <m/>
    <m/>
    <s v="543602591897"/>
    <d v="2020-12-10T00:00:00"/>
    <s v="PLN REGULER"/>
    <s v="Commitment New Roll Out 2020 Exp Dec 2020 - SRFI"/>
    <s v="OUTDOOR"/>
    <d v="2020-08-31T00:00:00"/>
    <s v="Sub Urban"/>
    <m/>
    <s v="Standard"/>
    <s v="PO/TB/20/N012485 &amp; PO/TB/20/N012809"/>
    <n v="91000000"/>
    <n v="10000000"/>
    <n v="81000000"/>
    <x v="4"/>
  </r>
  <r>
    <s v="0030572460031"/>
    <n v="30572460031"/>
    <x v="71"/>
    <s v="JAW-BT-CPT-0465"/>
    <s v="BERANDA SERPONG"/>
    <s v="BERANDA SERPONG"/>
    <x v="1"/>
    <s v="-"/>
    <s v="STIP 1"/>
    <s v="XL"/>
    <s v="TB"/>
    <s v="018431/TBG-TB/XL/MKT/01/2020"/>
    <d v="2020-01-14T00:00:00"/>
    <s v="-6.31657"/>
    <s v="106.70642"/>
    <s v="Jl. Raya Serua, RT.04/Rw.04, Kel. Serua, Kec. Ciputat , Kota Tangerang Selatan Prov. Banten"/>
    <s v="JABODETABEK (OUTER)"/>
    <x v="11"/>
    <s v="BANTEN"/>
    <s v="20"/>
    <s v="BAPS"/>
    <s v="BAPS"/>
    <s v="RFI"/>
    <m/>
    <m/>
    <s v="LUCKI DWI PRISTANTO"/>
    <s v="FAZAR GANNY"/>
    <s v="A. RACHMAN"/>
    <s v="LUCKI DWI PRISTANTO"/>
    <s v="FAZAR GANNY"/>
    <s v="PUSPITO HADIYANTO"/>
    <s v="SHERLY MAULANA"/>
    <x v="6"/>
    <s v="PT. TURANGGA EMPAT TIGA"/>
    <d v="2020-07-30T20:58:53"/>
    <d v="2020-07-31T08:13:56"/>
    <d v="2020-08-31T00:00:00"/>
    <m/>
    <d v="2020-12-02T00:00:00"/>
    <d v="2020-07-30T22:04:23"/>
    <d v="2020-07-30T22:06:36"/>
    <d v="2020-07-30T22:14:45"/>
    <m/>
    <d v="2020-07-30T22:08:02"/>
    <d v="2020-12-11T00:00:00"/>
    <m/>
    <s v="363"/>
    <d v="2020-08-28T00:00:00"/>
    <d v="2020-08-11T00:00:00"/>
    <d v="2020-12-21T00:00:00"/>
    <d v="2020-12-18T00:00:00"/>
    <d v="2020-12-15T20:26:16"/>
    <s v="1974/TB/BAUF-XL/VIII/2020"/>
    <m/>
    <d v="1899-12-31T00:00:00"/>
    <s v="PO/TB/20/N015687"/>
    <d v="2020-10-25T18:53:00"/>
    <m/>
    <m/>
    <m/>
    <m/>
    <m/>
    <d v="2020-10-30T20:25:42"/>
    <d v="2020-12-02T00:00:00"/>
    <d v="2030-12-01T00:00:00"/>
    <d v="2020-01-14T00:00:00"/>
    <d v="2020-08-01T00:00:00"/>
    <d v="2020-08-27T20:03:26"/>
    <d v="2020-08-05T00:00:00"/>
    <d v="2020-08-27T20:03:45"/>
    <m/>
    <m/>
    <s v="POLE           "/>
    <s v="20                  "/>
    <s v="GF                  "/>
    <s v="1"/>
    <d v="2020-08-11T00:00:00"/>
    <d v="2021-01-14T23:19:48"/>
    <d v="2021-02-10T00:00:00"/>
    <m/>
    <s v="RFL"/>
    <d v="2020-07-30T00:00:00"/>
    <m/>
    <s v="-"/>
    <m/>
    <m/>
    <m/>
    <m/>
    <s v="543602592363"/>
    <d v="2020-12-11T00:00:00"/>
    <s v="PLN REGULER"/>
    <s v="Commitment New Roll Out 2020 Exp Dec 2020 - SRFI"/>
    <s v="OUTDOOR"/>
    <d v="2020-08-31T00:00:00"/>
    <s v="Sub Urban"/>
    <m/>
    <s v="Standard"/>
    <s v="PO/TB/20/N012912 &amp; PO/TB/20/N013125"/>
    <n v="85500000"/>
    <n v="12500000"/>
    <n v="73000000"/>
    <x v="2"/>
  </r>
  <r>
    <s v="0030572470031"/>
    <n v="30572470031"/>
    <x v="72"/>
    <s v="JAW-BT-CPT-0467"/>
    <s v="SITU GINTUNG CIREUNDEU"/>
    <s v="SITU GINTUNG CIREUNDEU"/>
    <x v="1"/>
    <s v="-"/>
    <s v="STIP 1"/>
    <s v="XL"/>
    <s v="TB"/>
    <s v="018432/TBG-TB/XL/MKT/01/2020"/>
    <d v="2020-01-14T00:00:00"/>
    <s v="-6.30096"/>
    <s v="106.76263"/>
    <s v="Jl.IrH.juanda,Rt.01/Rw.08,kelurahan.Cirendeu,kecamatan.Ciputat Timur,kota tangerang selatan,Provinsi Banten"/>
    <s v="JABODETABEK (OUTER)"/>
    <x v="11"/>
    <s v="BANTEN"/>
    <s v="20"/>
    <s v="BAPS"/>
    <s v="BAPS"/>
    <s v="RFI"/>
    <m/>
    <m/>
    <s v="LUCKI DWI PRISTANTO"/>
    <s v="FAZAR GANNY"/>
    <s v="A. RACHMAN"/>
    <s v="LUCKI DWI PRISTANTO"/>
    <s v="FAZAR GANNY"/>
    <s v="M ARIF HELMI"/>
    <s v="SHERLY MAULANA"/>
    <x v="6"/>
    <s v="PT. TURANGGA EMPAT TIGA"/>
    <d v="2020-08-26T17:45:50"/>
    <d v="2020-08-27T14:11:01"/>
    <d v="2020-08-31T00:00:00"/>
    <m/>
    <d v="2020-12-02T00:00:00"/>
    <d v="2020-08-26T19:24:20"/>
    <d v="2020-08-26T19:27:57"/>
    <d v="2020-08-26T19:38:29"/>
    <m/>
    <d v="2020-08-26T19:28:53"/>
    <d v="2020-12-11T00:00:00"/>
    <m/>
    <s v="363"/>
    <d v="2020-08-31T00:00:00"/>
    <d v="2020-08-10T00:00:00"/>
    <d v="2020-12-21T00:00:00"/>
    <d v="2020-12-18T00:00:00"/>
    <d v="2020-12-15T20:30:40"/>
    <s v="1975/TB/BAUF-XL/VIII/2020"/>
    <m/>
    <d v="1899-12-31T00:00:00"/>
    <s v="PO/TB/20/N014069"/>
    <d v="2020-09-29T08:05:00"/>
    <m/>
    <m/>
    <m/>
    <m/>
    <m/>
    <d v="2020-10-30T20:25:57"/>
    <d v="2020-12-02T00:00:00"/>
    <d v="2030-12-01T00:00:00"/>
    <d v="2020-01-14T00:00:00"/>
    <d v="2020-08-07T00:00:00"/>
    <d v="2020-08-27T20:07:37"/>
    <d v="2020-08-08T00:00:00"/>
    <d v="2020-08-27T20:08:01"/>
    <m/>
    <m/>
    <s v="POLE           "/>
    <s v="20                  "/>
    <s v="GF                  "/>
    <s v="1"/>
    <d v="2020-08-10T00:00:00"/>
    <d v="2021-02-12T11:04:38"/>
    <d v="2021-02-10T00:00:00"/>
    <m/>
    <s v="RFL"/>
    <d v="2020-08-28T00:00:00"/>
    <m/>
    <s v="-"/>
    <m/>
    <m/>
    <m/>
    <m/>
    <s v="543602592355"/>
    <d v="2020-12-11T00:00:00"/>
    <s v="PLN REGULER"/>
    <s v="Commitment New Roll Out 2020 Exp Dec 2020 - SRFI"/>
    <s v="OUTDOOR"/>
    <d v="2020-08-31T00:00:00"/>
    <s v="Sub Urban"/>
    <m/>
    <s v="Standard"/>
    <s v="PO/TB/20/N012915 &amp; PO/TB/20/N013132"/>
    <n v="86000000"/>
    <n v="8750000"/>
    <n v="77250000"/>
    <x v="2"/>
  </r>
  <r>
    <s v="0030572480031"/>
    <n v="30572480031"/>
    <x v="73"/>
    <s v="JAW-BT-CPT-0468"/>
    <s v="GN RAYA CIREUNDEU"/>
    <s v="GN RAYA CIREUNDEU"/>
    <x v="1"/>
    <s v="-"/>
    <s v="STIP 1"/>
    <s v="XL"/>
    <s v="TB"/>
    <s v="018433/TBG-TB/XL/MKT/01/2020"/>
    <d v="2020-01-14T00:00:00"/>
    <s v="-6.3049"/>
    <s v="106.76482"/>
    <s v="Jl. Gunung Indah IV RT.004 RW.011 Kel. Cireundeu, Kec. Ciputat Timur, Kota Tangerang Selatan"/>
    <s v="JABODETABEK (OUTER)"/>
    <x v="11"/>
    <s v="BANTEN"/>
    <s v="20"/>
    <s v="BAPS"/>
    <s v="BAPS"/>
    <s v="RFI"/>
    <m/>
    <m/>
    <s v="LUCKI DWI PRISTANTO"/>
    <s v="FAZAR GANNY"/>
    <s v="A. RACHMAN"/>
    <s v="LUCKI DWI PRISTANTO"/>
    <s v="FAZAR GANNY"/>
    <s v="M ARIF HELMI"/>
    <s v="SHERLY MAULANA"/>
    <x v="6"/>
    <s v="PT. TURANGGA EMPAT TIGA"/>
    <d v="2020-08-26T19:59:02"/>
    <d v="2020-08-27T14:09:29"/>
    <d v="2020-08-31T00:00:00"/>
    <m/>
    <d v="2020-12-21T00:00:00"/>
    <d v="2020-08-26T20:09:38"/>
    <d v="2020-08-26T20:16:01"/>
    <d v="2020-08-26T20:30:09"/>
    <m/>
    <d v="2020-08-26T20:16:38"/>
    <d v="2020-09-15T00:00:00"/>
    <m/>
    <s v="363"/>
    <d v="2020-08-31T00:00:00"/>
    <d v="2020-08-12T00:00:00"/>
    <d v="2020-11-11T00:00:00"/>
    <d v="2020-11-20T00:00:00"/>
    <d v="2020-11-19T14:01:52"/>
    <s v="1973/TB/BAUF-XL/VIII/2020"/>
    <m/>
    <d v="1899-12-31T00:00:00"/>
    <s v="PO/TB/20/N014071"/>
    <d v="2020-09-29T08:22:00"/>
    <m/>
    <m/>
    <m/>
    <m/>
    <m/>
    <d v="2020-10-30T20:26:08"/>
    <d v="2020-12-21T00:00:00"/>
    <d v="2030-12-20T00:00:00"/>
    <d v="2020-01-14T00:00:00"/>
    <d v="2020-08-03T00:00:00"/>
    <d v="2020-08-27T20:05:21"/>
    <d v="2020-08-05T00:00:00"/>
    <d v="2020-08-27T20:05:42"/>
    <m/>
    <m/>
    <s v="POLE           "/>
    <s v="20                  "/>
    <s v="GF                  "/>
    <s v="1"/>
    <d v="2020-08-31T00:00:00"/>
    <d v="2021-02-12T10:58:05"/>
    <d v="2021-02-10T00:00:00"/>
    <m/>
    <s v="RFL"/>
    <d v="2020-08-28T00:00:00"/>
    <m/>
    <s v="-"/>
    <m/>
    <m/>
    <m/>
    <m/>
    <s v="543602552495"/>
    <d v="2020-09-15T00:00:00"/>
    <s v="PLN REGULER"/>
    <s v="Commitment New Roll Out 2020 Exp Dec 2020 - SRFI"/>
    <s v="OUTDOOR"/>
    <d v="2020-08-31T00:00:00"/>
    <s v="Sub Urban"/>
    <m/>
    <s v="Standard"/>
    <s v="PO/TB/20/N012914 &amp; PO/TB/20/N013131"/>
    <n v="87000000"/>
    <n v="17000000"/>
    <n v="70000000"/>
    <x v="2"/>
  </r>
  <r>
    <s v="0030572490031"/>
    <n v="30572490031"/>
    <x v="74"/>
    <s v="JAW-BT-CPT-0469"/>
    <s v="DISCOVERY CONSERVA"/>
    <s v="DISCOVERY CONSERVA"/>
    <x v="1"/>
    <s v="-"/>
    <s v="STIP 1"/>
    <s v="XL"/>
    <s v="TB"/>
    <s v="018434/TBG-TB/XL/MKT/01/2020"/>
    <d v="2020-01-14T00:00:00"/>
    <s v="-6.26109"/>
    <s v="106.69712"/>
    <s v="Kp. Pondok Kacang, RT02/RW07, Kel. Pondok Kacang Timur, Kec. Pondok Aren, Kota Tangerang Selatan Prov. Banten"/>
    <s v="JABODETABEK (OUTER)"/>
    <x v="11"/>
    <s v="BANTEN"/>
    <s v="20"/>
    <s v="BAPS"/>
    <s v="BAPS"/>
    <s v="RFI"/>
    <m/>
    <m/>
    <s v="LUCKI DWI PRISTANTO"/>
    <s v="FAZAR GANNY"/>
    <s v="A. RACHMAN"/>
    <s v="LUCKI DWI PRISTANTO"/>
    <s v="FAZAR GANNY"/>
    <s v="M ARIF HELMI"/>
    <s v="SHERLY MAULANA"/>
    <x v="6"/>
    <s v="PT. TURANGGA EMPAT TIGA"/>
    <d v="2020-08-21T11:11:37"/>
    <d v="2020-08-21T14:33:08"/>
    <d v="2020-08-31T00:00:00"/>
    <m/>
    <d v="2020-12-02T00:00:00"/>
    <d v="2020-08-21T11:27:18"/>
    <d v="2020-08-21T11:31:45"/>
    <d v="2020-08-21T12:01:17"/>
    <m/>
    <d v="2020-08-21T11:33:17"/>
    <d v="2020-12-11T00:00:00"/>
    <m/>
    <s v="363"/>
    <d v="2020-08-31T00:00:00"/>
    <d v="2020-08-10T00:00:00"/>
    <d v="2020-11-27T00:00:00"/>
    <d v="2020-11-20T00:00:00"/>
    <d v="2020-11-19T14:34:34"/>
    <s v="1983/TB/BAUF-XL/VIII/2020"/>
    <m/>
    <d v="1899-12-31T00:00:00"/>
    <s v="PO/TB/20/N014070"/>
    <d v="2020-09-29T08:09:00"/>
    <m/>
    <m/>
    <m/>
    <m/>
    <m/>
    <d v="2020-10-30T18:01:01"/>
    <d v="2020-12-02T00:00:00"/>
    <d v="2030-12-01T00:00:00"/>
    <d v="2020-01-14T00:00:00"/>
    <d v="2020-08-03T00:00:00"/>
    <d v="2020-08-27T19:52:06"/>
    <d v="2020-08-05T00:00:00"/>
    <d v="2020-08-27T19:52:27"/>
    <m/>
    <m/>
    <s v="POLE           "/>
    <s v="20                  "/>
    <s v="GF                  "/>
    <s v="1"/>
    <d v="2020-08-10T00:00:00"/>
    <d v="2021-02-05T14:23:53"/>
    <d v="2021-02-10T00:00:00"/>
    <m/>
    <s v="RFL"/>
    <d v="2020-08-21T00:00:00"/>
    <m/>
    <s v="-"/>
    <m/>
    <m/>
    <m/>
    <m/>
    <s v="543802946645"/>
    <d v="2020-12-11T00:00:00"/>
    <s v="PLN REGULER"/>
    <s v="Commitment New Roll Out 2020 Exp Dec 2020 - SRFI"/>
    <s v="OUTDOOR"/>
    <d v="2020-08-31T00:00:00"/>
    <s v="Sub Urban"/>
    <m/>
    <s v="Standard"/>
    <s v="PO/TB/20/N012913 &amp; PO/TB/20/N013129"/>
    <n v="85000000"/>
    <n v="15000000"/>
    <n v="70000000"/>
    <x v="5"/>
  </r>
  <r>
    <s v="0030572510031"/>
    <n v="30572510031"/>
    <x v="75"/>
    <s v="JAW-BT-TNG-1456"/>
    <s v="SMPN 14 TANGERANG"/>
    <s v="SMPN 14 Tangerang"/>
    <x v="1"/>
    <s v="-"/>
    <s v="STIP 1"/>
    <s v="XL"/>
    <s v="TB"/>
    <s v="018436/TBG-TB/XL/MKT/01/2020"/>
    <d v="2020-01-14T00:00:00"/>
    <s v="-6.21767"/>
    <s v="106.64248"/>
    <s v="Kp. Sawah Dalam RT 003 RW 004 Kelurahan Panunggangan Utara Kecamatan Pinang Kota Tangerang"/>
    <s v="JABODETABEK (INNER)"/>
    <x v="1"/>
    <s v="BANTEN"/>
    <s v="20"/>
    <s v="BAPS"/>
    <s v="BAPS"/>
    <s v="RFI"/>
    <m/>
    <m/>
    <s v="LUCKI DWI PRISTANTO"/>
    <s v="FAZAR GANNY"/>
    <s v="A. RACHMAN"/>
    <s v="LUCKI DWI PRISTANTO"/>
    <s v="FAZAR GANNY"/>
    <s v="M ARIF HELMI"/>
    <s v="SHERLY MAULANA"/>
    <x v="0"/>
    <s v="PT. Banjarpasir Nusa Pratama"/>
    <d v="2020-09-22T21:24:18"/>
    <d v="2020-09-24T15:05:43"/>
    <d v="2020-10-20T00:00:00"/>
    <m/>
    <d v="2021-01-17T00:00:00"/>
    <d v="2020-09-22T23:51:12"/>
    <d v="2020-09-24T13:01:24"/>
    <d v="2020-09-24T13:08:49"/>
    <m/>
    <d v="2020-09-24T13:02:10"/>
    <d v="2020-10-17T00:00:00"/>
    <m/>
    <s v="363"/>
    <d v="2020-10-20T00:00:00"/>
    <d v="2020-10-30T00:00:00"/>
    <d v="2020-12-21T00:00:00"/>
    <d v="2020-12-23T00:00:00"/>
    <d v="2020-12-17T11:46:53"/>
    <s v="2030/TB/BAUF-XL/X/2020"/>
    <m/>
    <d v="1899-12-31T00:00:00"/>
    <s v="PO/TB/20/N015930"/>
    <d v="2020-10-31T12:30:00"/>
    <m/>
    <m/>
    <m/>
    <m/>
    <m/>
    <d v="2020-12-19T10:20:16"/>
    <d v="2021-01-17T00:00:00"/>
    <d v="2031-01-16T00:00:00"/>
    <d v="2020-01-14T00:00:00"/>
    <d v="2020-10-03T00:00:00"/>
    <d v="2020-10-19T16:39:26"/>
    <d v="2020-10-03T00:00:00"/>
    <d v="2020-10-19T16:40:01"/>
    <m/>
    <m/>
    <s v="POLE"/>
    <s v="20"/>
    <s v="GF"/>
    <s v="1"/>
    <d v="2020-10-30T00:00:00"/>
    <d v="2021-03-12T10:06:46"/>
    <d v="2021-02-20T00:00:00"/>
    <m/>
    <s v="RFL"/>
    <d v="2020-09-25T00:00:00"/>
    <m/>
    <s v="-"/>
    <m/>
    <m/>
    <m/>
    <m/>
    <s v="566100924444"/>
    <d v="2020-10-17T00:00:00"/>
    <s v="PLN REGULER"/>
    <s v="Commitment New Roll Out 2020 Exp Dec 2020 - SRFI"/>
    <s v="OUTDOOR"/>
    <d v="2020-10-20T10:20:16"/>
    <s v="Sub Urban"/>
    <m/>
    <s v="Standard"/>
    <s v="PO/TB/20/N014167 &amp; PO/TB/20/N014238"/>
    <n v="85000000"/>
    <n v="6500000"/>
    <n v="78500000"/>
    <x v="5"/>
  </r>
  <r>
    <s v="0030572520031"/>
    <n v="30572520031"/>
    <x v="76"/>
    <s v="JAW-BT-TGR-0042"/>
    <s v="BABAKAN ASEM TELUK NAGA"/>
    <s v="BABAKAN ASEM TELUK NAGA"/>
    <x v="0"/>
    <s v="-"/>
    <s v="STIP 1"/>
    <s v="XL"/>
    <s v="TB"/>
    <s v="018437/TBG-TB/XL/MKT/01/2020"/>
    <d v="2020-01-14T00:00:00"/>
    <s v="-6.08602"/>
    <s v="106.6632"/>
    <s v="Kp. Rawa Rotan, RT 02 RW 04 Desa Babakan Asem, Kec. Teluk Naga, Kab Tangerang"/>
    <s v="JABODETABEK (OUTER)"/>
    <x v="2"/>
    <s v="BANTEN"/>
    <s v="42"/>
    <s v="BAPS"/>
    <s v="BAPS"/>
    <s v="RFI"/>
    <m/>
    <m/>
    <s v="LUCKI DWI PRISTANTO"/>
    <s v="FANDI KURNIAWAN SAPUTRA"/>
    <s v="A. RACHMAN"/>
    <s v="LUCKI DWI PRISTANTO"/>
    <s v="FAZAR GANNY"/>
    <s v="M ARIF HELMI"/>
    <s v="SHERLY MAULANA"/>
    <x v="11"/>
    <s v="PT. MULTI KREASI INVESTAMA"/>
    <d v="2020-05-15T15:20:48"/>
    <d v="2020-05-27T19:47:51"/>
    <d v="2020-07-10T00:00:00"/>
    <m/>
    <d v="2020-08-28T00:00:00"/>
    <d v="2020-05-15T22:40:51"/>
    <d v="2020-05-15T23:10:50"/>
    <d v="2020-05-16T16:40:16"/>
    <m/>
    <d v="2020-05-21T08:10:46"/>
    <d v="2020-08-27T00:00:00"/>
    <m/>
    <s v="363"/>
    <d v="2020-07-10T00:00:00"/>
    <d v="2020-05-20T00:00:00"/>
    <d v="2020-12-21T00:00:00"/>
    <d v="2020-12-11T00:00:00"/>
    <d v="2020-12-10T15:18:00"/>
    <s v="1920/TB/BAUF-XL/VII/2020"/>
    <m/>
    <d v="2020-07-14T20:18:00"/>
    <s v="PO/TB/20/N010281"/>
    <d v="2020-07-12T20:01:00"/>
    <m/>
    <m/>
    <m/>
    <m/>
    <m/>
    <d v="2020-09-08T20:14:34"/>
    <d v="2020-08-28T00:00:00"/>
    <d v="2030-08-27T00:00:00"/>
    <d v="2020-01-14T00:00:00"/>
    <d v="2020-06-09T00:00:00"/>
    <d v="2020-06-22T22:23:47"/>
    <d v="2020-06-26T00:00:00"/>
    <d v="2020-06-26T22:14:18"/>
    <m/>
    <m/>
    <s v="SST            "/>
    <s v="42                  "/>
    <s v="GF                  "/>
    <s v="1"/>
    <d v="2020-05-29T00:00:00"/>
    <d v="2020-12-31T00:00:00"/>
    <d v="2020-10-10T00:00:00"/>
    <m/>
    <s v="RFL"/>
    <d v="2020-05-28T00:00:00"/>
    <s v="OPM-SSTA/VIII/2020/0141"/>
    <s v="Oke"/>
    <d v="2020-09-18T16:37:01"/>
    <m/>
    <m/>
    <m/>
    <s v="566601119450"/>
    <d v="2020-08-27T00:00:00"/>
    <s v="PLN REGULER"/>
    <s v="Commitment New Roll Out 2020 Exp Dec 2020 - SRFI"/>
    <s v="OUTDOOR"/>
    <d v="2020-07-10T00:00:00"/>
    <s v="Sub Urban"/>
    <s v="RTC 1"/>
    <s v="Standard"/>
    <s v="PO/TB/20/N010458"/>
    <n v="98500000"/>
    <n v="24000000"/>
    <n v="74500000"/>
    <x v="2"/>
  </r>
  <r>
    <s v="0030572530031"/>
    <n v="30572530031"/>
    <x v="77"/>
    <s v="JAW-BT-TGR-0043"/>
    <s v="SALEMBARAN JAYA KOSAMBI"/>
    <s v="SALEMBARAN JAYA KOSAMBI"/>
    <x v="0"/>
    <s v="-"/>
    <s v="STIP 1"/>
    <s v="XL"/>
    <s v="TB"/>
    <s v="018438/TBG-TB/XL/MKT/01/2020"/>
    <d v="2020-01-14T00:00:00"/>
    <s v="-6.078712"/>
    <s v="106.666176"/>
    <s v="Pemukiman GG Putri V, RT 02 RW 15 Kel. Salembaran Jaya, Kec. Kosambi, Kab Tangerang"/>
    <s v="JABODETABEK (OUTER)"/>
    <x v="2"/>
    <s v="BANTEN"/>
    <s v="45"/>
    <s v="BAPS"/>
    <s v="BAPS"/>
    <s v="RFI"/>
    <m/>
    <m/>
    <s v="LUCKI DWI PRISTANTO"/>
    <s v="FANDI KURNIAWAN SAPUTRA"/>
    <s v="A. RACHMAN"/>
    <s v="LUCKI DWI PRISTANTO"/>
    <s v="FAZAR GANNY"/>
    <s v="M ARIF HELMI"/>
    <s v="SHERLY MAULANA"/>
    <x v="11"/>
    <s v="PT. MULTI KREASI INVESTAMA"/>
    <d v="2020-05-20T13:25:38"/>
    <d v="2020-06-10T22:34:20"/>
    <d v="2020-08-31T00:00:00"/>
    <m/>
    <d v="2020-10-01T00:00:00"/>
    <d v="2020-05-27T15:51:43"/>
    <d v="2020-05-28T09:47:09"/>
    <d v="2020-06-04T22:53:48"/>
    <m/>
    <d v="2020-06-04T00:08:10"/>
    <d v="2020-08-29T00:00:00"/>
    <m/>
    <s v="363"/>
    <d v="2020-11-30T00:00:00"/>
    <d v="2020-06-06T00:00:00"/>
    <d v="2020-10-20T00:00:00"/>
    <d v="2020-10-15T00:00:00"/>
    <d v="2020-10-13T14:35:39"/>
    <s v="1978/TB/BAUF-XL/VIII/2020"/>
    <m/>
    <d v="2020-06-30T08:44:00"/>
    <s v="PO/TB/20/N010745"/>
    <d v="2020-07-20T19:46:00"/>
    <m/>
    <m/>
    <m/>
    <m/>
    <m/>
    <d v="2020-10-30T07:40:36"/>
    <d v="2020-10-01T00:00:00"/>
    <d v="2030-09-30T00:00:00"/>
    <d v="2020-01-14T00:00:00"/>
    <d v="2020-06-11T00:00:00"/>
    <d v="2020-06-22T22:24:13"/>
    <d v="2020-06-26T00:00:00"/>
    <d v="2020-06-26T22:14:29"/>
    <m/>
    <m/>
    <s v="SST"/>
    <s v="46"/>
    <s v="GF"/>
    <s v="1"/>
    <d v="2020-06-30T00:00:00"/>
    <d v="2020-12-31T00:00:00"/>
    <d v="2021-02-10T00:00:00"/>
    <m/>
    <s v="RFL"/>
    <d v="2020-06-08T00:00:00"/>
    <m/>
    <s v="-"/>
    <m/>
    <m/>
    <m/>
    <m/>
    <s v="566601119590"/>
    <d v="2020-08-29T00:00:00"/>
    <s v="PLN REGULER"/>
    <s v="Commitment New Roll Out 2020 Exp Dec 2020 - SRFI"/>
    <s v="OUTDOOR"/>
    <d v="2020-08-31T07:40:36"/>
    <s v="Sub Urban"/>
    <s v="RTC 1"/>
    <s v="Standard"/>
    <s v="PO/TB/20/N009490"/>
    <n v="99000000"/>
    <n v="30000000"/>
    <n v="69000000"/>
    <x v="2"/>
  </r>
  <r>
    <s v="0030572540031"/>
    <n v="30572540031"/>
    <x v="78"/>
    <s v="JAW-BT-TGR-0044"/>
    <s v="PANTAI DADAP"/>
    <s v="PANTAI DADAP"/>
    <x v="0"/>
    <s v="-"/>
    <s v="STIP 1"/>
    <s v="XL"/>
    <s v="TB"/>
    <s v="018439/TBG-TB/XL/MKT/01/2020"/>
    <d v="2020-01-14T00:00:00"/>
    <s v="-6.08876"/>
    <s v="106.72031"/>
    <s v="Jl. Lokator, Rt. 003 Rw.001 Kel.Dadap Kec.Kosambi Kabupaten Tangerang"/>
    <s v="JABODETABEK (OUTER)"/>
    <x v="2"/>
    <s v="BANTEN"/>
    <s v="52"/>
    <s v="BAPS"/>
    <s v="BAPS"/>
    <s v="RFI"/>
    <m/>
    <m/>
    <s v="LUCKI DWI PRISTANTO"/>
    <s v="FAZAR GANNY"/>
    <s v="A. RACHMAN"/>
    <s v="LUCKI DWI PRISTANTO"/>
    <s v="FAZAR GANNY"/>
    <s v="M ARIF HELMI"/>
    <s v="SHERLY MAULANA"/>
    <x v="7"/>
    <s v="PT. ROTUA ABADI JAYA"/>
    <d v="2020-07-20T14:53:22"/>
    <d v="2020-07-30T16:40:12"/>
    <d v="2020-09-28T00:00:00"/>
    <m/>
    <d v="2020-12-27T00:00:00"/>
    <d v="2020-07-27T13:53:24"/>
    <d v="2020-07-29T17:11:06"/>
    <d v="2020-07-30T12:40:20"/>
    <m/>
    <d v="2020-07-30T15:06:28"/>
    <d v="2020-09-16T00:00:00"/>
    <m/>
    <s v="363"/>
    <d v="2020-11-30T00:00:00"/>
    <d v="2020-07-15T00:00:00"/>
    <d v="2020-11-30T00:00:00"/>
    <d v="2020-11-20T00:00:00"/>
    <d v="2020-11-18T17:24:05"/>
    <s v="2033/TB/BAUF-XL/IX/2020"/>
    <m/>
    <d v="2020-08-27T06:30:00"/>
    <s v="PO/TB/20/N015144"/>
    <d v="2020-10-14T18:31:00"/>
    <m/>
    <m/>
    <m/>
    <m/>
    <m/>
    <d v="2020-11-27T10:50:49"/>
    <d v="2020-12-27T00:00:00"/>
    <d v="2030-12-26T00:00:00"/>
    <d v="2020-01-14T00:00:00"/>
    <d v="2020-07-08T00:00:00"/>
    <d v="2020-08-18T15:04:24"/>
    <d v="2020-08-14T00:00:00"/>
    <d v="2020-09-18T15:04:33"/>
    <m/>
    <m/>
    <s v="SST            "/>
    <s v="52                  "/>
    <s v="GF                  "/>
    <s v="1"/>
    <d v="2020-07-15T00:00:00"/>
    <d v="2021-02-26T00:00:00"/>
    <d v="2020-11-30T00:00:00"/>
    <m/>
    <s v="RFL"/>
    <d v="2020-07-30T00:00:00"/>
    <s v="OPM-SSTA/X/2020/0030"/>
    <s v="Oke"/>
    <d v="2020-10-23T14:14:05"/>
    <m/>
    <m/>
    <m/>
    <s v="566601649407"/>
    <d v="2020-09-16T00:00:00"/>
    <s v="PLN REGULER"/>
    <s v="Commitment New Roll Out 2020 Exp Dec 2020 - SRFI"/>
    <s v="OUTDOOR"/>
    <d v="2020-09-28T10:50:49"/>
    <s v="Sub Urban"/>
    <s v="RTC 1"/>
    <s v="Standard"/>
    <s v="PO/TB/20/N012284"/>
    <n v="97000000"/>
    <n v="49000000"/>
    <n v="48000000"/>
    <x v="13"/>
  </r>
  <r>
    <s v="0030572550031"/>
    <n v="30572550031"/>
    <x v="79"/>
    <s v="JAW-BT-TGR-0045"/>
    <s v="KAMPUNG BESAR TELUK NAGA"/>
    <s v="KAMPUNG BESAR TELUK NAGA"/>
    <x v="0"/>
    <s v="-"/>
    <s v="STIP 1"/>
    <s v="XL"/>
    <s v="TB"/>
    <s v="018440/TBG-TB/XL/MKT/01/2020"/>
    <d v="2020-01-14T00:00:00"/>
    <s v="-6.062358"/>
    <s v="106.654625"/>
    <s v="Kp Kampung Besar RT. 12 RW. 06 Kel. Kampung Besar Kec. Teluk Naga, Kab. Tangerang"/>
    <s v="JABODETABEK (OUTER)"/>
    <x v="2"/>
    <s v="BANTEN"/>
    <s v="52"/>
    <s v="BAPS"/>
    <s v="BAPS"/>
    <s v="RFI"/>
    <m/>
    <m/>
    <s v="LUCKI DWI PRISTANTO"/>
    <s v="FAZAR GANNY"/>
    <s v="A. RACHMAN"/>
    <s v="LUCKI DWI PRISTANTO"/>
    <s v="FAZAR GANNY"/>
    <s v="M ARIF HELMI"/>
    <s v="SHERLY MAULANA"/>
    <x v="9"/>
    <s v="PT. MANDIRA INFRA TRIPAKARTI"/>
    <d v="2020-07-18T11:29:12"/>
    <d v="2020-07-22T09:29:38"/>
    <d v="2020-08-13T00:00:00"/>
    <m/>
    <d v="2020-08-31T00:00:00"/>
    <d v="2020-07-18T12:12:40"/>
    <d v="2020-07-19T18:12:14"/>
    <d v="2020-07-21T12:14:13"/>
    <m/>
    <d v="2020-07-21T12:14:36"/>
    <d v="2020-08-26T00:00:00"/>
    <m/>
    <s v="363"/>
    <d v="2020-11-30T00:00:00"/>
    <d v="2020-07-15T00:00:00"/>
    <d v="2020-12-21T00:00:00"/>
    <d v="2020-12-11T00:00:00"/>
    <d v="2020-12-10T15:10:54"/>
    <s v="1986/TB/BAUF-XL/VIII/2020"/>
    <m/>
    <d v="2020-08-21T20:45:00"/>
    <s v="PO/TB/20/N015303"/>
    <d v="2020-10-17T20:17:00"/>
    <m/>
    <m/>
    <m/>
    <m/>
    <m/>
    <d v="2020-10-12T13:14:14"/>
    <d v="2020-08-31T00:00:00"/>
    <d v="2030-08-30T00:00:00"/>
    <d v="2020-01-14T00:00:00"/>
    <d v="2020-07-04T00:00:00"/>
    <d v="2020-08-10T14:37:07"/>
    <d v="2020-07-19T00:00:00"/>
    <d v="2020-08-10T16:07:12"/>
    <m/>
    <m/>
    <s v="SST            "/>
    <s v="52                  "/>
    <s v="GF                  "/>
    <s v="1"/>
    <d v="2020-07-15T00:00:00"/>
    <d v="2021-01-31T00:00:00"/>
    <d v="2021-02-10T00:00:00"/>
    <m/>
    <s v="RFL"/>
    <d v="2020-07-23T00:00:00"/>
    <m/>
    <s v="-"/>
    <m/>
    <m/>
    <m/>
    <m/>
    <s v="566601624992"/>
    <d v="2020-08-26T00:00:00"/>
    <s v="PLN REGULER"/>
    <s v="Commitment New Roll Out 2020 Exp Dec 2020 - SRFI"/>
    <s v="OUTDOOR"/>
    <d v="2020-08-13T00:00:00"/>
    <s v="Rural"/>
    <s v="RTC 1"/>
    <s v="Standard"/>
    <s v="PO/TB/20/N012118"/>
    <n v="97500000"/>
    <n v="29000000"/>
    <n v="68500000"/>
    <x v="2"/>
  </r>
  <r>
    <s v="0030572570031"/>
    <n v="30572570031"/>
    <x v="80"/>
    <s v="JAW-BT-TNG-1464"/>
    <s v="ALAM JAYA JATIUWUNG"/>
    <s v="ALAM JAYA JATIUWUNG"/>
    <x v="1"/>
    <s v="-"/>
    <s v="STIP 1"/>
    <s v="XL"/>
    <s v="TB"/>
    <s v="018442/TBG-TB/XL/MKT/01/2020"/>
    <d v="2020-01-14T00:00:00"/>
    <s v="-6.19367"/>
    <s v="106.57746"/>
    <s v="Kp. Ledug, RT.03/RW.01, Kel. Alam Jaya Kec. Jatiuwung, Kota Tangerang Prov. Banten"/>
    <s v="JABODETABEK (INNER)"/>
    <x v="1"/>
    <s v="BANTEN"/>
    <s v="20"/>
    <s v="BAPS"/>
    <s v="BAPS"/>
    <s v="RFI"/>
    <m/>
    <m/>
    <s v="LUCKI DWI PRISTANTO"/>
    <s v="FAZAR GANNY"/>
    <s v="A. RACHMAN"/>
    <s v="LUCKI DWI PRISTANTO"/>
    <s v="FAZAR GANNY"/>
    <s v="M ARIF HELMI"/>
    <s v="SHERLY MAULANA"/>
    <x v="0"/>
    <s v="PT. Banjarpasir Nusa Pratama"/>
    <d v="2020-09-19T15:01:16"/>
    <d v="2020-09-21T06:41:24"/>
    <d v="2020-09-30T00:00:00"/>
    <m/>
    <d v="2021-01-03T00:00:00"/>
    <d v="2020-09-19T15:20:18"/>
    <d v="2020-09-19T15:23:37"/>
    <d v="2020-09-19T15:38:49"/>
    <m/>
    <d v="2020-09-19T15:25:53"/>
    <d v="2020-12-07T00:00:00"/>
    <m/>
    <s v="363"/>
    <d v="2020-10-09T00:00:00"/>
    <d v="2020-09-05T00:00:00"/>
    <d v="2020-12-21T00:00:00"/>
    <d v="2020-12-23T00:00:00"/>
    <d v="2020-12-17T11:32:18"/>
    <s v="2032/TB/BAUF-XL/IX/2020"/>
    <m/>
    <d v="1899-12-31T00:00:00"/>
    <s v="PO/TB/20/N015072"/>
    <d v="2020-10-13T20:26:00"/>
    <m/>
    <m/>
    <m/>
    <m/>
    <m/>
    <d v="2020-11-29T22:09:55"/>
    <d v="2021-01-03T00:00:00"/>
    <d v="2031-01-02T00:00:00"/>
    <d v="2020-01-14T00:00:00"/>
    <d v="2020-09-14T00:00:00"/>
    <d v="2020-09-29T19:47:01"/>
    <d v="2020-09-16T00:00:00"/>
    <d v="2020-09-29T19:47:29"/>
    <m/>
    <m/>
    <s v="POLE           "/>
    <s v="20                  "/>
    <s v="GF                  "/>
    <s v="1"/>
    <d v="2020-09-05T00:00:00"/>
    <d v="2021-02-26T00:00:00"/>
    <d v="2021-02-10T00:00:00"/>
    <m/>
    <s v="RFL"/>
    <d v="2020-09-23T00:00:00"/>
    <s v="OPM-SSTA/XII/2020/0311"/>
    <s v="-"/>
    <m/>
    <m/>
    <m/>
    <m/>
    <s v="566100948050"/>
    <d v="2020-12-07T00:00:00"/>
    <s v="PLN REGULER"/>
    <s v="Commitment New Roll Out 2020 Exp Dec 2020 - SRFI"/>
    <s v="OUTDOOR"/>
    <d v="2020-09-30T00:00:00"/>
    <s v="Sub Urban"/>
    <m/>
    <s v="Standard"/>
    <s v="PO/TB/20/N013898 &amp; PO/TB/20/N014094"/>
    <n v="95000000"/>
    <n v="3500000"/>
    <n v="91500000"/>
    <x v="4"/>
  </r>
  <r>
    <s v="0030572580031"/>
    <n v="30572580031"/>
    <x v="81"/>
    <s v="JAW-BT-TNG-1465"/>
    <s v="PASIR JAYA JATIUWUNG"/>
    <s v="PASIR JAYA JATIUWUNG"/>
    <x v="0"/>
    <s v="-"/>
    <s v="STIP 1"/>
    <s v="XL"/>
    <s v="TB"/>
    <s v="018443/TBG-TB/XL/MKT/01/2020"/>
    <d v="2020-01-14T00:00:00"/>
    <s v="-6.19266"/>
    <s v="106.56357"/>
    <s v="Kp Pasir  Rt.001 Rw.002 Kelurahan Pasir Jaya Kecamatan Jatiuwung Kota Tangerang"/>
    <s v="JABODETABEK (INNER)"/>
    <x v="1"/>
    <s v="BANTEN"/>
    <s v="42"/>
    <s v="RFI"/>
    <s v="CME"/>
    <s v="SRFI"/>
    <m/>
    <m/>
    <s v="LUCKI DWI PRISTANTO"/>
    <s v="FANDI KURNIAWAN SAPUTRA"/>
    <s v="A. RACHMAN"/>
    <s v="LUCKI DWI PRISTANTO"/>
    <s v="FAZAR GANNY"/>
    <s v="M ARIF HELMI"/>
    <s v="SHERLY MAULANA"/>
    <x v="4"/>
    <m/>
    <d v="2020-09-25T20:46:40"/>
    <d v="2020-09-30T23:28:26"/>
    <d v="2020-11-30T00:00:00"/>
    <m/>
    <m/>
    <d v="2020-09-30T21:35:22"/>
    <d v="2020-09-30T22:08:39"/>
    <d v="2020-09-30T23:23:00"/>
    <m/>
    <d v="2020-09-30T22:28:48"/>
    <m/>
    <m/>
    <s v="363"/>
    <d v="2020-11-10T00:00:00"/>
    <d v="2020-09-05T00:00:00"/>
    <d v="2021-01-22T00:00:00"/>
    <m/>
    <m/>
    <m/>
    <m/>
    <d v="2020-10-07T18:47:00"/>
    <m/>
    <d v="1899-12-31T00:00:00"/>
    <m/>
    <m/>
    <m/>
    <m/>
    <m/>
    <d v="2021-01-29T16:25:05"/>
    <m/>
    <m/>
    <d v="2020-01-14T00:00:00"/>
    <d v="2020-10-19T00:00:00"/>
    <d v="2020-10-22T16:49:35"/>
    <d v="2020-10-26T00:00:00"/>
    <d v="2020-10-27T16:13:30"/>
    <m/>
    <m/>
    <s v="SST            "/>
    <s v="42                  "/>
    <s v="GF                  "/>
    <s v="1"/>
    <d v="2020-09-05T00:00:00"/>
    <d v="2021-01-31T00:00:00"/>
    <d v="2021-02-20T00:00:00"/>
    <m/>
    <s v="RFL"/>
    <d v="2020-10-02T00:00:00"/>
    <s v="OPM-SSTA/XII/2020/0278"/>
    <s v="-"/>
    <m/>
    <m/>
    <m/>
    <m/>
    <m/>
    <d v="1899-12-31T00:00:00"/>
    <m/>
    <s v="Commitment New Roll Out 2020 Exp Dec 2020 - SRFI"/>
    <s v="OUTDOOR"/>
    <d v="2020-11-30T00:00:00"/>
    <s v="Dense Urban"/>
    <s v="RTC 1"/>
    <s v="Standard"/>
    <s v="PO/TB/20/N014556"/>
    <n v="99000000"/>
    <n v="21000000"/>
    <n v="78000000"/>
    <x v="2"/>
  </r>
  <r>
    <s v="0030573400031"/>
    <n v="30573400031"/>
    <x v="82"/>
    <s v="JAW-JK-KYB-0103"/>
    <s v="BENDA CIGANJUR"/>
    <s v="Benda Ciganjur"/>
    <x v="1"/>
    <s v="-"/>
    <s v="STIP 1"/>
    <s v="XL"/>
    <s v="TB"/>
    <s v="018531/TBG-TB/XL/MKT/01/2020"/>
    <d v="2020-01-16T00:00:00"/>
    <s v="-6.32567"/>
    <s v="106.80611"/>
    <s v="Jl. Manggis Dalam No. 1 RT.001 RW.004 kel. Ciganjur Kec. Jagakarsa, Jakarta Selatan"/>
    <s v="JABODETABEK (INNER)"/>
    <x v="8"/>
    <s v="DKI JAKARTA"/>
    <s v="20"/>
    <s v="BAPS"/>
    <s v="BAPS"/>
    <s v="RFI"/>
    <m/>
    <m/>
    <s v="LUCKI DWI PRISTANTO"/>
    <s v="FAZAR GANNY"/>
    <s v="A. RACHMAN"/>
    <s v="LUCKI DWI PRISTANTO"/>
    <s v="FAZAR GANNY"/>
    <s v="PUSPITO HADIYANTO"/>
    <s v="SHERLY MAULANA"/>
    <x v="1"/>
    <m/>
    <d v="2020-07-23T19:59:39"/>
    <d v="2020-07-23T21:03:40"/>
    <d v="2020-07-24T00:00:00"/>
    <m/>
    <d v="2020-09-08T00:00:00"/>
    <d v="2020-07-23T20:31:59"/>
    <d v="2020-07-23T20:39:25"/>
    <d v="2020-07-23T21:00:01"/>
    <m/>
    <d v="2020-07-23T20:40:58"/>
    <d v="2020-08-11T00:00:00"/>
    <m/>
    <s v="361"/>
    <d v="2020-08-28T00:00:00"/>
    <d v="2020-08-05T00:00:00"/>
    <d v="2020-12-21T00:00:00"/>
    <d v="2020-11-30T00:00:00"/>
    <d v="2020-11-27T13:12:29"/>
    <s v="1921/TB/BAUF-XL/VII/2020"/>
    <m/>
    <d v="1899-12-31T00:00:00"/>
    <m/>
    <d v="1899-12-31T00:00:00"/>
    <m/>
    <m/>
    <m/>
    <m/>
    <m/>
    <d v="2020-09-22T22:03:01"/>
    <d v="2020-09-08T00:00:00"/>
    <d v="2030-09-07T00:00:00"/>
    <d v="2020-01-16T00:00:00"/>
    <d v="2020-07-10T00:00:00"/>
    <d v="2020-07-23T23:09:47"/>
    <d v="2020-07-10T00:00:00"/>
    <d v="2020-07-23T23:11:34"/>
    <m/>
    <m/>
    <s v="MP             "/>
    <s v="20                  "/>
    <s v="GF                  "/>
    <s v="1"/>
    <d v="2020-08-14T00:00:00"/>
    <d v="2021-01-08T11:45:46"/>
    <d v="2020-12-11T00:00:00"/>
    <m/>
    <s v="RFL"/>
    <d v="2020-07-24T00:00:00"/>
    <s v="OPM-SSTA/X/2020/0242"/>
    <s v="OK sesuai hasil cek AFO &amp; OME"/>
    <d v="2020-10-28T12:49:46"/>
    <m/>
    <m/>
    <m/>
    <s v="547401725305"/>
    <d v="2020-08-11T00:00:00"/>
    <s v="PLN REGULER"/>
    <s v="Commitment New Roll Out 2020 Exp Dec 2020 - SRFI"/>
    <s v="OUTDOOR"/>
    <d v="2020-07-24T00:00:00"/>
    <s v="Sub Urban"/>
    <m/>
    <s v="Lumpsum &amp; Not Fasum"/>
    <m/>
    <m/>
    <m/>
    <m/>
    <x v="6"/>
  </r>
  <r>
    <s v="0030573420031"/>
    <n v="30573420031"/>
    <x v="83"/>
    <s v="JAW-BT-CPT-0451"/>
    <s v="CIATER SERPONG"/>
    <s v="Ciater Serpong"/>
    <x v="1"/>
    <s v="-"/>
    <s v="STIP 1"/>
    <s v="XL"/>
    <s v="TB"/>
    <s v="018533/TBG-TB/XL/MKT/01/2020"/>
    <d v="2020-01-16T00:00:00"/>
    <s v="-6.32153"/>
    <s v="106.69678"/>
    <s v="Jl. Ciateer Tengah RT 009/007 Kel Ciater Kec Serpong Kota Tangerang Selatan BANTEN"/>
    <s v="JABODETABEK (OUTER)"/>
    <x v="11"/>
    <s v="BANTEN"/>
    <s v="20"/>
    <s v="RFI"/>
    <s v="CME"/>
    <s v="RFI"/>
    <m/>
    <m/>
    <s v="LUCKI DWI PRISTANTO"/>
    <s v="FAZAR GANNY"/>
    <s v="A. RACHMAN"/>
    <s v="LUCKI DWI PRISTANTO"/>
    <s v="FAZAR GANNY"/>
    <s v="M ARIF HELMI"/>
    <s v="SHERLY MAULANA"/>
    <x v="6"/>
    <s v="PT. TURANGGA EMPAT TIGA"/>
    <d v="2020-07-31T22:23:29"/>
    <d v="2020-07-31T22:55:36"/>
    <d v="2020-08-18T00:00:00"/>
    <m/>
    <m/>
    <d v="2020-07-31T22:36:21"/>
    <d v="2020-07-31T22:45:12"/>
    <d v="2020-07-31T22:51:23"/>
    <m/>
    <d v="2020-07-31T22:45:55"/>
    <d v="2020-12-14T00:00:00"/>
    <m/>
    <s v="361"/>
    <d v="2020-08-15T00:00:00"/>
    <d v="2020-08-05T00:00:00"/>
    <d v="2020-12-21T00:00:00"/>
    <d v="2020-12-18T00:00:00"/>
    <d v="2020-12-15T20:22:48"/>
    <m/>
    <m/>
    <d v="1899-12-31T00:00:00"/>
    <s v="PO/TB/20/N013701"/>
    <d v="2020-09-22T15:05:00"/>
    <m/>
    <m/>
    <m/>
    <m/>
    <m/>
    <d v="2020-10-17T21:23:37"/>
    <m/>
    <m/>
    <d v="2020-01-16T00:00:00"/>
    <d v="2020-07-15T00:00:00"/>
    <d v="2020-08-17T12:11:06"/>
    <d v="2020-08-20T00:00:00"/>
    <d v="2020-08-17T12:12:30"/>
    <m/>
    <m/>
    <s v="POLE           "/>
    <s v="20                  "/>
    <s v="GF                  "/>
    <s v="1"/>
    <d v="2020-08-05T00:00:00"/>
    <d v="2021-01-27T10:09:05"/>
    <d v="2021-02-10T00:00:00"/>
    <m/>
    <s v="RFL"/>
    <d v="2020-08-12T00:00:00"/>
    <m/>
    <s v="-"/>
    <m/>
    <m/>
    <m/>
    <m/>
    <s v="543602593324"/>
    <d v="2020-12-14T00:00:00"/>
    <s v="PLN REGULER"/>
    <s v="Commitment New Roll Out 2020 Exp Dec 2020 - SRFI"/>
    <s v="OUTDOOR"/>
    <d v="2020-08-18T00:00:00"/>
    <s v="Sub Urban"/>
    <m/>
    <s v="Standard"/>
    <s v="PO/TB/20/N012306 &amp; PO/TB/20/N012483"/>
    <n v="68000000"/>
    <n v="18000000"/>
    <n v="50000000"/>
    <x v="16"/>
  </r>
  <r>
    <s v="0030573430031"/>
    <n v="30573430031"/>
    <x v="84"/>
    <s v="JAW-JB-CBI-0068"/>
    <s v="KLAPANUNGGAL CILEUNGSI"/>
    <s v="Klapanunggal Cileungsi"/>
    <x v="0"/>
    <s v="-"/>
    <s v="STIP 1"/>
    <s v="XL"/>
    <s v="TB"/>
    <s v="018534/TBG-TB/XL/MKT/01/2020"/>
    <d v="2020-01-16T00:00:00"/>
    <s v="-6.44434"/>
    <s v="106.95823"/>
    <s v="Kp. Sindanglengo RT. 006 RW. 004 Desa Klapanunggal Kec. Klapanunggal, Kab. Bogor Prov. Jawa Barat"/>
    <s v="JABODETABEK (OUTER)"/>
    <x v="3"/>
    <s v="JAWA BARAT"/>
    <s v="42"/>
    <s v="BAPS"/>
    <s v="BAPS"/>
    <s v="RFI"/>
    <m/>
    <m/>
    <s v="LUCKI DWI PRISTANTO"/>
    <s v="FAZAR GANNY"/>
    <s v="A. RACHMAN"/>
    <s v="LUCKI DWI PRISTANTO"/>
    <s v="FAZAR GANNY"/>
    <s v="PUSPITO HADIYANTO"/>
    <s v="SHERLY MAULANA"/>
    <x v="2"/>
    <s v="PT ORLIE INDONESIA"/>
    <d v="2020-04-16T10:10:08"/>
    <d v="2020-04-29T09:52:35"/>
    <d v="2020-05-21T00:00:00"/>
    <m/>
    <d v="2020-08-19T00:00:00"/>
    <d v="2020-04-16T11:56:21"/>
    <d v="2020-04-16T17:48:27"/>
    <d v="2020-04-18T20:21:37"/>
    <m/>
    <d v="2020-04-25T21:20:49"/>
    <d v="2020-07-16T00:00:00"/>
    <m/>
    <s v="361"/>
    <d v="2020-11-30T00:00:00"/>
    <d v="2020-04-20T00:00:00"/>
    <d v="2020-07-21T00:00:00"/>
    <d v="2020-07-09T00:00:00"/>
    <d v="2020-07-07T15:16:26"/>
    <s v="1834/TB/BAUF-XL/V/2020"/>
    <m/>
    <d v="2020-05-20T20:39:00"/>
    <s v="PO/TB/20/N007330"/>
    <d v="2020-05-17T21:01:00"/>
    <m/>
    <m/>
    <m/>
    <m/>
    <m/>
    <d v="2020-07-20T09:50:10"/>
    <d v="2020-08-19T00:00:00"/>
    <d v="2030-08-18T00:00:00"/>
    <d v="2020-01-16T00:00:00"/>
    <d v="2020-04-27T00:00:00"/>
    <d v="2020-05-06T21:04:15"/>
    <d v="2020-04-29T00:00:00"/>
    <d v="2020-05-19T08:25:23"/>
    <d v="2020-10-20T00:00:00"/>
    <d v="2020-12-17T00:00:00"/>
    <s v="SST"/>
    <s v="42"/>
    <s v="GF"/>
    <s v="1"/>
    <d v="2020-05-29T00:00:00"/>
    <d v="2021-02-26T00:00:00"/>
    <d v="2020-12-12T00:00:00"/>
    <m/>
    <s v="RFL"/>
    <d v="2020-05-15T00:00:00"/>
    <s v="OPM-SSTA/XII/2020/0009"/>
    <s v="Oke"/>
    <d v="2020-12-18T09:30:29"/>
    <m/>
    <m/>
    <m/>
    <s v="538657233015"/>
    <d v="2020-07-16T00:00:00"/>
    <s v="PLN REGULER"/>
    <s v="Commitment New Roll Out 2020 Exp Dec 2020 - SRFI"/>
    <s v="OUTDOOR"/>
    <d v="2020-05-21T00:00:00"/>
    <s v="Urban"/>
    <s v="RTC 1"/>
    <s v="Standard"/>
    <s v="PO/TB/20/N007546"/>
    <n v="97000000"/>
    <n v="31500000"/>
    <n v="65500000"/>
    <x v="2"/>
  </r>
  <r>
    <s v="0030573440031"/>
    <n v="30573440031"/>
    <x v="85"/>
    <s v="JAW-JK-KYB-0110"/>
    <s v="JALAN PURNAWARMAN"/>
    <s v="Jalan Purnawarman"/>
    <x v="1"/>
    <s v="-"/>
    <s v="STIP 1"/>
    <s v="XL"/>
    <s v="TB"/>
    <s v="018535/TBG-TB/XL/MKT/01/2020"/>
    <d v="2020-01-16T00:00:00"/>
    <s v="-6.23415"/>
    <s v="106.80577"/>
    <s v="Jl. Daksa II RT.06 RW. 02 Kel.selong kec. kebayoran Baru Jakarat pusat"/>
    <s v="JABODETABEK (INNER)"/>
    <x v="8"/>
    <s v="DKI JAKARTA"/>
    <s v="20"/>
    <s v="BAPS"/>
    <s v="BAPS"/>
    <s v="RFI"/>
    <m/>
    <m/>
    <s v="LUCKI DWI PRISTANTO"/>
    <s v="FAZAR GANNY"/>
    <s v="A. RACHMAN"/>
    <s v="LUCKI DWI PRISTANTO"/>
    <s v="FAZAR GANNY"/>
    <s v="PUSPITO HADIYANTO"/>
    <s v="SHERLY MAULANA"/>
    <x v="1"/>
    <m/>
    <d v="2020-02-27T18:14:40"/>
    <d v="2020-02-27T20:12:47"/>
    <d v="2020-04-16T00:00:00"/>
    <m/>
    <d v="2020-07-15T00:00:00"/>
    <m/>
    <d v="2020-02-27T18:30:05"/>
    <m/>
    <m/>
    <d v="2020-02-27T18:32:49"/>
    <d v="2020-06-27T00:00:00"/>
    <m/>
    <s v="361"/>
    <d v="2020-04-24T00:00:00"/>
    <d v="2020-02-21T00:00:00"/>
    <d v="2020-07-24T00:00:00"/>
    <d v="2020-06-30T00:00:00"/>
    <d v="2020-06-27T12:20:58"/>
    <s v="1792/TB/BAUF-XL/IV/2020"/>
    <m/>
    <d v="1899-12-31T00:00:00"/>
    <m/>
    <d v="1899-12-31T00:00:00"/>
    <m/>
    <m/>
    <m/>
    <m/>
    <m/>
    <d v="2020-06-15T18:08:12"/>
    <d v="2020-07-15T00:00:00"/>
    <d v="2030-07-14T00:00:00"/>
    <d v="2020-01-16T00:00:00"/>
    <d v="2020-03-20T00:00:00"/>
    <d v="2020-04-11T22:09:02"/>
    <d v="2020-03-23T00:00:00"/>
    <d v="2020-04-11T22:09:28"/>
    <m/>
    <m/>
    <s v="MP"/>
    <s v="20"/>
    <s v="GF"/>
    <s v="1"/>
    <d v="2020-07-31T00:00:00"/>
    <m/>
    <d v="2020-09-15T00:00:00"/>
    <m/>
    <s v="RFL"/>
    <d v="2020-04-12T00:00:00"/>
    <s v="OPM-SSTA/VIII/2020/0030"/>
    <s v="OK - sesuai hasil cek OME &amp; AFO"/>
    <d v="2020-09-15T15:06:37"/>
    <m/>
    <m/>
    <m/>
    <s v="543105613735"/>
    <d v="2020-06-27T00:00:00"/>
    <s v="PLN REGULER"/>
    <s v="Commitment New Roll Out 2020 Exp Dec 2020 - SRFI"/>
    <s v="OUTDOOR"/>
    <d v="2020-04-16T00:00:00"/>
    <s v="Sub Urban"/>
    <m/>
    <s v="Lumpsum &amp; Fasum"/>
    <m/>
    <m/>
    <m/>
    <m/>
    <x v="7"/>
  </r>
  <r>
    <s v="0030573470031"/>
    <n v="30573470031"/>
    <x v="86"/>
    <s v="JAW-BT-TGR-0041"/>
    <s v="BELIMBING KOSAMBI"/>
    <s v="BELIMBING KOSAMBI"/>
    <x v="0"/>
    <s v="-"/>
    <s v="STIP 1"/>
    <s v="XL"/>
    <s v="TB"/>
    <s v="018538/TBG-TB/XL/MKT/01/2020"/>
    <d v="2020-01-16T00:00:00"/>
    <s v="-6.08288"/>
    <s v="106.67674"/>
    <s v="Fp. Belimbing RT 023 RW 012 Desa Belimbing Kec. Kosambi Kab. Tangerang Prov. Banten "/>
    <s v="JABODETABEK (OUTER)"/>
    <x v="2"/>
    <s v="BANTEN"/>
    <s v="42"/>
    <s v="RFI"/>
    <s v="CME"/>
    <s v="RFI"/>
    <m/>
    <m/>
    <s v="LUCKI DWI PRISTANTO"/>
    <s v="FAZAR GANNY"/>
    <s v="A. RACHMAN"/>
    <s v="LUCKI DWI PRISTANTO"/>
    <s v="FAZAR GANNY"/>
    <s v="M ARIF HELMI"/>
    <s v="SHERLY MAULANA"/>
    <x v="9"/>
    <s v="PT. MANDIRA INFRA TRIPAKARTI"/>
    <d v="2020-07-18T10:19:29"/>
    <d v="2020-07-30T19:16:43"/>
    <d v="2020-09-24T00:00:00"/>
    <m/>
    <m/>
    <d v="2020-07-30T08:52:49"/>
    <d v="2020-07-30T11:12:03"/>
    <d v="2020-07-30T18:05:33"/>
    <m/>
    <d v="2020-07-30T17:54:54"/>
    <d v="2020-09-22T00:00:00"/>
    <m/>
    <s v="361"/>
    <d v="2020-11-30T00:00:00"/>
    <d v="2020-08-20T00:00:00"/>
    <d v="2020-12-21T00:00:00"/>
    <d v="2020-12-18T00:00:00"/>
    <d v="2020-12-15T20:13:56"/>
    <m/>
    <m/>
    <d v="2020-08-21T20:36:00"/>
    <s v="PO/TB/20/N015681"/>
    <d v="2020-10-25T17:29:00"/>
    <m/>
    <m/>
    <m/>
    <m/>
    <m/>
    <d v="2020-11-23T17:46:05"/>
    <m/>
    <m/>
    <d v="2020-01-16T00:00:00"/>
    <d v="2020-08-15T00:00:00"/>
    <d v="2020-08-25T14:35:25"/>
    <d v="2020-08-27T00:00:00"/>
    <d v="2020-08-31T11:42:52"/>
    <m/>
    <m/>
    <s v="SST            "/>
    <s v="42                  "/>
    <s v="GF                  "/>
    <s v="1"/>
    <d v="2020-08-20T00:00:00"/>
    <d v="2021-01-31T00:00:00"/>
    <d v="2020-11-30T00:00:00"/>
    <m/>
    <s v="RFL"/>
    <d v="2020-07-30T00:00:00"/>
    <s v="OPM-SSTA/X/2020/0031"/>
    <s v="Oke"/>
    <d v="2020-10-22T17:41:02"/>
    <m/>
    <m/>
    <m/>
    <s v="566601655232"/>
    <d v="2020-09-22T00:00:00"/>
    <s v="PLN REGULER"/>
    <s v="Commitment New Roll Out 2020 Exp Dec 2020 - SRFI"/>
    <s v="OUTDOOR"/>
    <d v="2020-09-24T17:46:05"/>
    <s v="Rural"/>
    <s v="RTC 1"/>
    <s v="Standard"/>
    <s v="PO/TB/20/N012115"/>
    <n v="99000000"/>
    <n v="35000000"/>
    <n v="64000000"/>
    <x v="2"/>
  </r>
  <r>
    <s v="0030573610031"/>
    <n v="30573610031"/>
    <x v="87"/>
    <s v="JAW-JK-KYB-0101"/>
    <s v="SITU BABAKAN SRENGSENG SAWAH"/>
    <s v="Situ Babakan Srengseng Sawah"/>
    <x v="1"/>
    <s v="-"/>
    <s v="STIP 1"/>
    <s v="XL"/>
    <s v="TB"/>
    <s v="018584/TBG-TB/XL/MKT/01/2020"/>
    <d v="2020-01-17T00:00:00"/>
    <s v="-6.340317"/>
    <s v="106.827953"/>
    <s v="Jl. Desa Putra RT 01 RW 06, Kel. Srengseng Sawah Kec. Jagakarsa, Kota Jakarta Selatan ._x000a_DKI JAKARTA"/>
    <s v="JABODETABEK (INNER)"/>
    <x v="8"/>
    <s v="DKI JAKARTA"/>
    <s v="20"/>
    <s v="BAPS"/>
    <s v="BAPS"/>
    <s v="RFI"/>
    <m/>
    <m/>
    <s v="LUCKI DWI PRISTANTO"/>
    <s v="FAZAR GANNY"/>
    <s v="A. RACHMAN"/>
    <s v="LUCKI DWI PRISTANTO"/>
    <s v="FAZAR GANNY"/>
    <s v="PUSPITO HADIYANTO"/>
    <s v="SHERLY MAULANA"/>
    <x v="1"/>
    <m/>
    <d v="2020-04-30T20:38:22"/>
    <d v="2020-04-30T21:10:28"/>
    <d v="2020-06-20T00:00:00"/>
    <m/>
    <d v="2020-08-18T00:00:00"/>
    <m/>
    <d v="2020-04-30T20:51:37"/>
    <m/>
    <m/>
    <d v="2020-04-30T20:52:53"/>
    <d v="2020-07-01T00:00:00"/>
    <m/>
    <s v="360"/>
    <d v="2020-06-12T00:00:00"/>
    <d v="2020-05-15T00:00:00"/>
    <d v="2020-09-28T00:00:00"/>
    <d v="2020-09-24T00:00:00"/>
    <d v="2020-09-21T18:43:38"/>
    <s v="1872/TB/BAUF-XL/VI/2020"/>
    <m/>
    <d v="1899-12-31T00:00:00"/>
    <m/>
    <d v="1899-12-31T00:00:00"/>
    <m/>
    <m/>
    <m/>
    <m/>
    <m/>
    <d v="2020-08-19T17:50:10"/>
    <d v="2020-08-18T00:00:00"/>
    <d v="2030-08-17T00:00:00"/>
    <d v="2020-01-17T00:00:00"/>
    <d v="2020-06-01T00:00:00"/>
    <d v="2020-06-20T12:47:57"/>
    <d v="2020-06-03T00:00:00"/>
    <d v="2020-06-20T12:48:26"/>
    <m/>
    <m/>
    <s v="MP             "/>
    <s v="20                  "/>
    <s v="GF                  "/>
    <s v="1"/>
    <d v="2020-05-29T00:00:00"/>
    <m/>
    <d v="2021-01-15T00:00:00"/>
    <m/>
    <s v="RFL"/>
    <d v="2020-05-15T00:00:00"/>
    <s v="OPM-SSTA/XI/2020/0089"/>
    <s v="OK - SESUAI HASIL CEK AFO &amp; OME"/>
    <d v="2021-01-07T12:02:06"/>
    <m/>
    <m/>
    <m/>
    <s v="547401708346"/>
    <d v="2020-07-01T00:00:00"/>
    <s v="PLN REGULER"/>
    <s v="Commitment New Roll Out 2020 Exp Dec 2020 - SRFI"/>
    <s v="OUTDOOR"/>
    <d v="2020-06-20T00:00:00"/>
    <s v="Sub Urban"/>
    <m/>
    <s v="Lumpsum &amp; Fasum"/>
    <m/>
    <m/>
    <m/>
    <m/>
    <x v="7"/>
  </r>
  <r>
    <s v="0030573620031"/>
    <n v="30573620031"/>
    <x v="88"/>
    <s v="JAW-JK-GGP-0524"/>
    <s v="KENCANA TIMUR CENGKARENG"/>
    <s v="Kencana Timur Cengkareng"/>
    <x v="1"/>
    <s v="-"/>
    <s v="STIP 1"/>
    <s v="XL"/>
    <s v="TB"/>
    <s v="018585/TBG-TB/XL/MKT/01/2020"/>
    <d v="2020-01-17T00:00:00"/>
    <s v="-6.125710"/>
    <s v="106.730310"/>
    <s v="Jalan Outer luar RT 11 RW 11 Kel. Cengkareng Timur , Kec . Cengkareng  Kota Jakarta Barat"/>
    <s v="JABODETABEK (INNER)"/>
    <x v="6"/>
    <s v="DKI JAKARTA"/>
    <s v="20"/>
    <s v="BAPS"/>
    <s v="BAPS"/>
    <s v="RFI"/>
    <m/>
    <m/>
    <s v="LUCKI DWI PRISTANTO"/>
    <s v="FAZAR GANNY"/>
    <s v="A. RACHMAN"/>
    <s v="LUCKI DWI PRISTANTO"/>
    <s v="FAZAR GANNY"/>
    <s v="M ARIF HELMI"/>
    <s v="SHERLY MAULANA"/>
    <x v="1"/>
    <m/>
    <d v="2020-05-15T22:34:17"/>
    <d v="2020-05-15T22:48:13"/>
    <d v="2020-06-20T00:00:00"/>
    <m/>
    <d v="2020-09-17T00:00:00"/>
    <m/>
    <d v="2020-05-15T22:37:16"/>
    <m/>
    <m/>
    <d v="2020-05-15T22:38:51"/>
    <d v="2020-07-28T00:00:00"/>
    <m/>
    <s v="360"/>
    <d v="2020-06-15T00:00:00"/>
    <d v="2020-06-20T00:00:00"/>
    <d v="2020-10-20T00:00:00"/>
    <d v="2020-10-08T00:00:00"/>
    <d v="2020-10-05T11:09:22"/>
    <s v="1873/TB/BAUF-XL/VI/2020"/>
    <m/>
    <d v="1899-12-31T00:00:00"/>
    <m/>
    <d v="1899-12-31T00:00:00"/>
    <m/>
    <m/>
    <m/>
    <m/>
    <m/>
    <d v="2020-08-19T17:50:15"/>
    <d v="2020-09-17T00:00:00"/>
    <d v="2021-09-16T00:00:00"/>
    <d v="2020-01-17T00:00:00"/>
    <d v="2020-06-10T00:00:00"/>
    <d v="2020-06-20T14:05:23"/>
    <d v="2020-06-11T00:00:00"/>
    <d v="2020-06-20T14:06:26"/>
    <m/>
    <m/>
    <s v="MP             "/>
    <s v="20                  "/>
    <s v="GF                  "/>
    <s v="1"/>
    <d v="2020-06-30T00:00:00"/>
    <m/>
    <d v="2021-01-15T00:00:00"/>
    <m/>
    <s v="RFL"/>
    <d v="2020-05-17T00:00:00"/>
    <s v="OPM-SSTA/XII/2020/0169"/>
    <s v="OK - SESUAI HASIL CEK AFO &amp; OME"/>
    <d v="2021-01-07T11:54:38"/>
    <m/>
    <m/>
    <m/>
    <s v="546303095396"/>
    <d v="2020-07-28T00:00:00"/>
    <s v="PLN REGULER"/>
    <s v="Commitment New Roll Out 2020 Exp Dec 2020 - SRFI"/>
    <s v="OUTDOOR"/>
    <d v="2020-06-20T00:00:00"/>
    <s v="Sub Urban"/>
    <m/>
    <s v="Lumpsum &amp; Fasum"/>
    <m/>
    <m/>
    <m/>
    <m/>
    <x v="7"/>
  </r>
  <r>
    <s v="0030573640031"/>
    <n v="30573640031"/>
    <x v="89"/>
    <s v="JAW-JK-CKG-0662"/>
    <s v="NYIUR PONDOK KELAPA"/>
    <s v="Nyiur Pondok Kelapa"/>
    <x v="1"/>
    <s v="-"/>
    <s v="STIP 1"/>
    <s v="XL"/>
    <s v="TB"/>
    <s v="018587/TBG-TB/XL/MKT/01/2020"/>
    <d v="2020-01-17T00:00:00"/>
    <s v="-6.24186"/>
    <s v="106.92663"/>
    <s v="Jl. Tipar No.28 RT.04, RW.007  Kel. Pondok Kelapa Kec. duren Sawiit  Propinsi Jakarta Timur DKI JAKARTA "/>
    <s v="JABODETABEK (INNER)"/>
    <x v="10"/>
    <s v="DKI JAKARTA"/>
    <s v="20"/>
    <s v="RFI"/>
    <s v="CME"/>
    <s v="SRFI"/>
    <m/>
    <m/>
    <s v="LUCKI DWI PRISTANTO"/>
    <s v="FANDI KURNIAWAN SAPUTRA"/>
    <s v="A. RACHMAN"/>
    <s v="LUCKI DWI PRISTANTO"/>
    <s v="FAZAR GANNY"/>
    <s v="PUSPITO HADIYANTO"/>
    <s v="SHERLY MAULANA"/>
    <x v="1"/>
    <m/>
    <d v="2020-10-23T19:40:11"/>
    <d v="2020-10-26T15:48:50"/>
    <d v="2020-11-30T00:00:00"/>
    <m/>
    <m/>
    <d v="2020-10-24T11:50:43"/>
    <d v="2020-10-24T11:55:47"/>
    <d v="2020-10-24T12:03:08"/>
    <m/>
    <d v="2020-10-24T11:56:41"/>
    <m/>
    <m/>
    <s v="360"/>
    <d v="2020-11-15T00:00:00"/>
    <d v="2020-10-15T00:00:00"/>
    <d v="2021-03-22T00:00:00"/>
    <m/>
    <m/>
    <m/>
    <m/>
    <d v="1899-12-31T00:00:00"/>
    <m/>
    <d v="1899-12-31T00:00:00"/>
    <m/>
    <m/>
    <m/>
    <m/>
    <m/>
    <d v="2021-01-29T18:02:31"/>
    <m/>
    <m/>
    <d v="2020-01-17T00:00:00"/>
    <d v="2020-10-14T00:00:00"/>
    <d v="2020-10-28T21:09:41"/>
    <d v="2020-10-16T00:00:00"/>
    <d v="2020-10-28T21:10:04"/>
    <m/>
    <m/>
    <s v="POLE           "/>
    <s v="20                  "/>
    <s v="GF                  "/>
    <s v="1"/>
    <d v="2020-10-15T00:00:00"/>
    <d v="2021-04-13T15:56:00"/>
    <d v="2021-02-20T00:00:00"/>
    <m/>
    <s v="RFL"/>
    <d v="2020-10-27T00:00:00"/>
    <m/>
    <s v="-"/>
    <m/>
    <m/>
    <m/>
    <m/>
    <m/>
    <d v="1899-12-31T00:00:00"/>
    <m/>
    <s v="Commitment New Roll Out 2020 Exp Dec 2020 - SRFI"/>
    <s v="OUTDOOR"/>
    <d v="2020-11-30T00:00:00"/>
    <s v="Sub Urban"/>
    <m/>
    <s v="Lumpsum &amp; Not Fasum"/>
    <m/>
    <m/>
    <m/>
    <m/>
    <x v="4"/>
  </r>
  <r>
    <s v="0030573650031"/>
    <n v="30573650031"/>
    <x v="90"/>
    <s v="JAW-JK-GGP-0515"/>
    <s v="KAYUMANIS KELAPA DUA"/>
    <s v="Kayumanis Kelapa Dua"/>
    <x v="1"/>
    <s v="-"/>
    <s v="STIP 1"/>
    <s v="XL"/>
    <s v="TB"/>
    <s v="018588/TBG-TB/XL/MKT/01/2020"/>
    <d v="2020-01-17T00:00:00"/>
    <s v="-6.20635"/>
    <s v="106.76411"/>
    <s v="Jalan Inpeksi Kali Pesanggrahan Barat RT 01 RW 06 Kel Srengseng Kec Kembangan Jakarta Barat 11510"/>
    <s v="JABODETABEK (INNER)"/>
    <x v="6"/>
    <s v="DKI JAKARTA"/>
    <s v="25"/>
    <s v="BAPS"/>
    <s v="BAPS"/>
    <s v="RFI"/>
    <m/>
    <m/>
    <s v="LUCKI DWI PRISTANTO"/>
    <s v="FAZAR GANNY"/>
    <s v="A. RACHMAN"/>
    <s v="LUCKI DWI PRISTANTO"/>
    <s v="FAZAR GANNY"/>
    <s v="M ARIF HELMI"/>
    <s v="SHERLY MAULANA"/>
    <x v="1"/>
    <m/>
    <d v="2020-03-28T15:54:58"/>
    <d v="2020-03-28T16:08:47"/>
    <d v="2020-04-29T00:00:00"/>
    <m/>
    <d v="2020-08-06T00:00:00"/>
    <m/>
    <d v="2020-03-28T15:57:50"/>
    <m/>
    <m/>
    <d v="2020-03-28T15:59:49"/>
    <d v="2020-07-12T00:00:00"/>
    <m/>
    <s v="360"/>
    <d v="2020-05-27T00:00:00"/>
    <d v="2020-04-24T00:00:00"/>
    <d v="2020-07-20T00:00:00"/>
    <d v="2020-06-30T00:00:00"/>
    <d v="2020-06-27T12:57:41"/>
    <s v="1795/TB/BAUF-XL/IV/2020"/>
    <m/>
    <d v="1899-12-31T00:00:00"/>
    <m/>
    <d v="1899-12-31T00:00:00"/>
    <m/>
    <m/>
    <m/>
    <m/>
    <m/>
    <d v="2020-06-28T21:42:27"/>
    <d v="2020-08-06T00:00:00"/>
    <d v="2030-08-05T00:00:00"/>
    <d v="2020-01-17T00:00:00"/>
    <d v="2020-04-20T00:00:00"/>
    <d v="2020-04-22T21:38:36"/>
    <d v="2020-04-20T00:00:00"/>
    <d v="2020-04-22T21:40:21"/>
    <m/>
    <m/>
    <s v="MP"/>
    <s v="25"/>
    <s v="GF"/>
    <s v="1"/>
    <d v="2020-07-31T00:00:00"/>
    <m/>
    <d v="2020-10-20T00:00:00"/>
    <m/>
    <s v="RFL"/>
    <d v="2020-04-12T00:00:00"/>
    <s v="OPM-SSTA/IX/2020/0090"/>
    <s v="OK sesuai hasil cek AFO &amp; OME"/>
    <d v="2020-10-15T10:17:11"/>
    <m/>
    <m/>
    <m/>
    <s v="543301728527"/>
    <d v="2020-07-12T00:00:00"/>
    <s v="PLN REGULER"/>
    <s v="Commitment New Roll Out 2020 Exp Dec 2020 - SRFI"/>
    <s v="OUTDOOR"/>
    <d v="2020-04-29T00:00:00"/>
    <s v="Sub Urban"/>
    <m/>
    <s v="Lumpsum &amp; Fasum"/>
    <m/>
    <m/>
    <m/>
    <m/>
    <x v="7"/>
  </r>
  <r>
    <s v="0030594960031"/>
    <n v="30594960031"/>
    <x v="91"/>
    <s v="JAW-BT-CPT-0447"/>
    <s v="JALAN MENTAWAI TOL"/>
    <s v="Jalan Mentawai Tol"/>
    <x v="1"/>
    <s v="-"/>
    <s v="STIP 1"/>
    <s v="XL"/>
    <s v="TB"/>
    <s v="023435/TBG-TB/XL/MKT/06/2020"/>
    <d v="2020-06-24T00:00:00"/>
    <s v="-6.29977"/>
    <s v="106.69607"/>
    <s v="Kp. Rawa Lele RT 006 RW 010, Kelurahan Jombang, Kecamatan Ciputat, Kota Tangerang Selatan, Propinsi Banten"/>
    <s v="JABODETABEK (OUTER)"/>
    <x v="11"/>
    <s v="BANTEN"/>
    <s v="20"/>
    <s v="RFI"/>
    <s v="CME"/>
    <s v="RFI"/>
    <m/>
    <m/>
    <s v="LUCKI DWI PRISTANTO"/>
    <s v="FANDI KURNIAWAN SAPUTRA"/>
    <m/>
    <s v="LUCKI DWI PRISTANTO"/>
    <s v="FAZAR GANNY"/>
    <s v="M ARIF HELMI"/>
    <s v="SHERLY MAULANA"/>
    <x v="0"/>
    <s v="PT. Banjarpasir Nusa Pratama"/>
    <d v="2020-11-12T22:47:52"/>
    <d v="2020-11-13T01:27:16"/>
    <d v="2020-11-30T00:00:00"/>
    <m/>
    <m/>
    <d v="2020-11-12T23:05:51"/>
    <d v="2020-11-12T23:08:47"/>
    <d v="2020-11-12T23:51:56"/>
    <m/>
    <d v="2020-11-12T23:35:09"/>
    <d v="2020-11-29T00:00:00"/>
    <m/>
    <s v="201"/>
    <d v="2020-11-30T00:00:00"/>
    <d v="2020-11-10T00:00:00"/>
    <d v="2021-01-08T00:00:00"/>
    <d v="2020-12-28T00:00:00"/>
    <d v="2020-12-22T12:01:00"/>
    <m/>
    <m/>
    <d v="1899-12-31T00:00:00"/>
    <s v="PO/TB/20/N017738"/>
    <d v="2020-12-02T16:50:00"/>
    <m/>
    <s v="15 Month"/>
    <m/>
    <m/>
    <m/>
    <d v="2021-01-29T16:25:12"/>
    <m/>
    <m/>
    <d v="2020-06-24T00:00:00"/>
    <d v="2020-11-02T00:00:00"/>
    <d v="2020-11-23T10:20:16"/>
    <d v="2020-11-06T00:00:00"/>
    <d v="2020-11-23T10:48:23"/>
    <m/>
    <m/>
    <s v="POLE           "/>
    <s v="20                  "/>
    <s v="GF                  "/>
    <s v="1"/>
    <d v="2020-11-30T00:00:00"/>
    <d v="2021-05-03T10:42:02"/>
    <d v="2021-02-20T00:00:00"/>
    <m/>
    <s v="RFL"/>
    <d v="2020-11-16T00:00:00"/>
    <m/>
    <s v="-"/>
    <m/>
    <m/>
    <m/>
    <m/>
    <s v="543802940322"/>
    <d v="2020-11-29T00:00:00"/>
    <s v="PLN REGULER"/>
    <s v="Commitment New Roll Out 2020 Exp Dec 2020 - SRFI"/>
    <s v="OUTDOOR"/>
    <d v="2020-11-30T00:00:00"/>
    <s v="Sub Urban"/>
    <m/>
    <s v="Standard"/>
    <s v="PO/TB/20/N017443 &amp; PO/TB/20/N017555"/>
    <n v="99000000"/>
    <n v="10000000"/>
    <n v="89000000"/>
    <x v="14"/>
  </r>
  <r>
    <s v="0030594980031"/>
    <n v="30594980031"/>
    <x v="92"/>
    <s v="JAW-JK-TJP-0679"/>
    <s v="LONTAR DALAM KOJA"/>
    <s v="LONTAR DALAM KOJA"/>
    <x v="1"/>
    <s v="-"/>
    <s v="STIP 1"/>
    <s v="XL"/>
    <s v="TB"/>
    <s v="023437/TBG-TB/XL/MKT/06/2020"/>
    <d v="2020-06-24T00:00:00"/>
    <s v="-6.11881"/>
    <s v="106.91353"/>
    <s v="JL. Mahoni Blok E No.1A RT.002 RW.05_x000a_Kel. TUgu Utara Kec. Koja Kota Jakarta Utara_x000a_Provinsi DKI Jakarta"/>
    <s v="JABODETABEK (INNER)"/>
    <x v="7"/>
    <s v="DKI JAKARTA"/>
    <s v="20"/>
    <s v="RFI"/>
    <s v="CME"/>
    <s v="RFI"/>
    <m/>
    <m/>
    <s v="LUCKI DWI PRISTANTO"/>
    <s v="FANDI KURNIAWAN SAPUTRA"/>
    <m/>
    <s v="LUCKI DWI PRISTANTO"/>
    <s v="FAZAR GANNY"/>
    <s v="PUSPITO HADIYANTO"/>
    <s v="SHERLY MAULANA"/>
    <x v="1"/>
    <m/>
    <d v="2020-10-29T13:04:02"/>
    <d v="2020-11-16T11:41:21"/>
    <d v="2020-11-18T00:00:00"/>
    <m/>
    <m/>
    <d v="2020-10-29T14:33:54"/>
    <d v="2020-10-29T14:47:23"/>
    <d v="2020-11-12T20:36:19"/>
    <m/>
    <d v="2020-11-12T19:26:22"/>
    <d v="2020-10-21T00:00:00"/>
    <m/>
    <s v="201"/>
    <d v="2020-11-20T00:00:00"/>
    <d v="2020-11-10T00:00:00"/>
    <d v="2020-12-30T00:00:00"/>
    <d v="2020-12-23T00:00:00"/>
    <d v="2020-12-17T11:37:21"/>
    <m/>
    <m/>
    <d v="1899-12-31T00:00:00"/>
    <m/>
    <d v="1899-12-31T00:00:00"/>
    <m/>
    <s v="15 Month"/>
    <m/>
    <m/>
    <m/>
    <d v="2021-01-17T17:46:09"/>
    <m/>
    <m/>
    <d v="2020-06-24T00:00:00"/>
    <d v="2020-11-01T00:00:00"/>
    <d v="2020-11-16T17:29:18"/>
    <d v="2020-11-16T00:00:00"/>
    <d v="2020-11-16T17:29:47"/>
    <m/>
    <m/>
    <s v="POLE           "/>
    <s v="20                  "/>
    <s v="GF                  "/>
    <s v="1"/>
    <d v="2020-11-30T00:00:00"/>
    <d v="2021-05-03T10:42:41"/>
    <d v="2021-01-15T00:00:00"/>
    <m/>
    <s v="RFL"/>
    <d v="2020-11-16T00:00:00"/>
    <s v="OPM-SSTA/XII/2020/0189"/>
    <s v="-"/>
    <m/>
    <m/>
    <m/>
    <m/>
    <s v="545302759851"/>
    <d v="2020-10-21T00:00:00"/>
    <s v="PLN REGULER"/>
    <s v="Commitment New Roll Out 2020 Exp Dec 2020 - SRFI"/>
    <s v="OUTDOOR"/>
    <d v="2020-11-18T17:46:09"/>
    <s v="Sub Urban"/>
    <m/>
    <s v="Lumpsum &amp; Not Fasum"/>
    <m/>
    <m/>
    <m/>
    <m/>
    <x v="4"/>
  </r>
  <r>
    <s v="0030595360031"/>
    <n v="30595360031"/>
    <x v="93"/>
    <s v="JAW-JB-BGR-0210"/>
    <s v="BERINGIN BATULAYANG"/>
    <s v="Beringin Batulayang"/>
    <x v="0"/>
    <s v="-"/>
    <s v="STIP 1"/>
    <s v="XL"/>
    <s v="TB"/>
    <s v="023516/TBG-TB/XL/MKT/06/2020"/>
    <d v="2020-06-25T00:00:00"/>
    <s v="-6.6734"/>
    <s v="106.94588"/>
    <s v="Kp. Batukasur Rt 002 RW 003 Desa Batulayang Kecamatan Cisarua Kabupaten Bogor."/>
    <s v="JABODETABEK (OUTER)"/>
    <x v="3"/>
    <s v="JAWA BARAT"/>
    <s v="52"/>
    <s v="BAPS"/>
    <s v="BAPS"/>
    <s v="RFI"/>
    <m/>
    <m/>
    <s v="LUCKI DWI PRISTANTO"/>
    <s v="FAZAR GANNY"/>
    <m/>
    <s v="LUCKI DWI PRISTANTO"/>
    <s v="FAZAR GANNY"/>
    <s v="PUSPITO HADIYANTO"/>
    <s v="SHERLY MAULANA"/>
    <x v="0"/>
    <s v="PT. Banjarpasir Nusa Pratama"/>
    <d v="2020-09-09T08:48:14"/>
    <d v="2020-09-14T14:17:02"/>
    <d v="2020-10-20T00:00:00"/>
    <m/>
    <d v="2020-11-18T00:00:00"/>
    <d v="2020-09-09T12:36:51"/>
    <d v="2020-09-09T16:32:52"/>
    <d v="2020-09-13T22:53:36"/>
    <m/>
    <d v="2020-09-13T22:54:00"/>
    <d v="2020-10-15T00:00:00"/>
    <m/>
    <s v="200"/>
    <d v="2020-10-20T00:00:00"/>
    <d v="2020-09-30T00:00:00"/>
    <d v="2020-12-21T00:00:00"/>
    <d v="2020-11-30T00:00:00"/>
    <d v="2020-11-27T13:39:20"/>
    <s v="2039/TB/BAUF-XL/IX/2020"/>
    <m/>
    <d v="2020-09-21T16:04:00"/>
    <s v="PO/TB/20/N015929"/>
    <d v="2020-10-31T11:47:00"/>
    <m/>
    <s v="15 Month"/>
    <m/>
    <m/>
    <m/>
    <d v="2020-12-19T16:25:20"/>
    <d v="2020-11-18T00:00:00"/>
    <d v="2030-11-17T00:00:00"/>
    <d v="2020-06-25T00:00:00"/>
    <d v="2020-09-20T00:00:00"/>
    <d v="2020-09-22T12:29:25"/>
    <d v="2020-09-29T00:00:00"/>
    <d v="2020-10-05T16:20:27"/>
    <d v="2020-11-05T00:00:00"/>
    <d v="1899-12-31T00:00:00"/>
    <s v="SST            "/>
    <s v="52                  "/>
    <s v="GF                  "/>
    <s v="1"/>
    <d v="2020-09-30T00:00:00"/>
    <d v="2021-02-26T00:00:00"/>
    <d v="2021-02-20T00:00:00"/>
    <m/>
    <s v="RFL"/>
    <d v="2020-09-15T00:00:00"/>
    <m/>
    <s v="-"/>
    <m/>
    <m/>
    <m/>
    <m/>
    <s v="538114210549"/>
    <d v="2020-10-15T00:00:00"/>
    <s v="PLN REGULER"/>
    <s v="Commitment New Roll Out 2020 Exp Dec 2020 - SRFI"/>
    <s v="OUTDOOR"/>
    <d v="2020-10-20T16:25:20"/>
    <s v="Sub Urban"/>
    <s v="RTC 1"/>
    <s v="Lumpsum &amp; Not Fasum"/>
    <m/>
    <m/>
    <m/>
    <m/>
    <x v="2"/>
  </r>
  <r>
    <s v="0030595370031"/>
    <n v="30595370031"/>
    <x v="94"/>
    <s v="JAW-JB-BGR-0213"/>
    <s v="CIBEBER BARENGKOK"/>
    <s v="Cibeber Barengkok"/>
    <x v="0"/>
    <s v="-"/>
    <s v="STIP 1"/>
    <s v="XL"/>
    <s v="TB"/>
    <s v="023517/TBG-TB/XL/MKT/06/2020"/>
    <d v="2020-06-25T00:00:00"/>
    <s v="-6.60523"/>
    <s v="106.64031"/>
    <s v="Kp. Citeureup I RT.005 RW 004 Desa Barengkok Kecamatan Leuwiliang Kabupaten Bogor"/>
    <s v="JABODETABEK (OUTER)"/>
    <x v="3"/>
    <s v="JAWA BARAT"/>
    <s v="42"/>
    <s v="BAPS"/>
    <s v="BAPS"/>
    <s v="RFI"/>
    <m/>
    <m/>
    <s v="LUCKI DWI PRISTANTO"/>
    <s v="FANDI KURNIAWAN SAPUTRA"/>
    <m/>
    <s v="LUCKI DWI PRISTANTO"/>
    <s v="FAZAR GANNY"/>
    <s v="PUSPITO HADIYANTO"/>
    <s v="SHERLY MAULANA"/>
    <x v="0"/>
    <s v="PT. Banjarpasir Nusa Pratama"/>
    <d v="2020-07-19T16:18:25"/>
    <d v="2020-07-23T22:10:39"/>
    <d v="2020-08-28T00:00:00"/>
    <m/>
    <d v="2020-09-29T00:00:00"/>
    <d v="2020-07-22T01:12:16"/>
    <d v="2020-07-22T17:41:30"/>
    <d v="2020-07-23T14:19:44"/>
    <m/>
    <d v="2020-07-23T14:19:16"/>
    <d v="2020-08-25T00:00:00"/>
    <m/>
    <s v="200"/>
    <d v="2020-09-10T00:00:00"/>
    <d v="2020-09-18T00:00:00"/>
    <d v="2020-11-05T00:00:00"/>
    <d v="2020-11-06T00:00:00"/>
    <d v="2020-11-04T18:06:53"/>
    <s v="1988/TB/BAUF-XL/VIII/2020"/>
    <m/>
    <d v="2020-08-05T12:34:00"/>
    <s v="PO/TB/20/N011896"/>
    <d v="2020-08-14T08:58:00"/>
    <m/>
    <s v="15 Month"/>
    <m/>
    <m/>
    <m/>
    <d v="2020-10-27T16:50:44"/>
    <d v="2020-09-29T00:00:00"/>
    <d v="2030-09-28T00:00:00"/>
    <d v="2020-06-25T00:00:00"/>
    <d v="2020-08-06T00:00:00"/>
    <d v="2020-08-07T11:31:23"/>
    <d v="2020-08-10T00:00:00"/>
    <d v="2020-08-13T18:34:29"/>
    <d v="2020-10-09T00:00:00"/>
    <d v="2020-08-11T00:00:00"/>
    <s v="SST            "/>
    <s v="42                  "/>
    <s v="GF                  "/>
    <s v="1"/>
    <d v="2020-09-18T00:00:00"/>
    <d v="2020-11-30T00:00:00"/>
    <d v="2020-12-12T00:00:00"/>
    <m/>
    <s v="RFL"/>
    <d v="2020-07-24T00:00:00"/>
    <s v="OPM-SSTA/XII/2020/0012"/>
    <s v="Oke"/>
    <d v="2020-12-18T09:32:00"/>
    <m/>
    <m/>
    <m/>
    <s v="538515841787"/>
    <d v="2020-08-25T00:00:00"/>
    <s v="PLN REGULER"/>
    <s v="Commitment New Roll Out 2020 Exp Dec 2020 - SRFI"/>
    <s v="OUTDOOR"/>
    <d v="2020-08-28T16:50:44"/>
    <s v="Sub Urban"/>
    <s v="RTC 1"/>
    <s v="Standard"/>
    <s v="PO/TB/20/N011383"/>
    <n v="90000000"/>
    <n v="17600000"/>
    <n v="72400000"/>
    <x v="6"/>
  </r>
  <r>
    <s v="0030595380031"/>
    <n v="30595380031"/>
    <x v="95"/>
    <s v="JAW-JB-BGR-0214"/>
    <s v="MEKARWANGI BOGOR"/>
    <s v="Mekarwangi Bogor"/>
    <x v="0"/>
    <s v="-"/>
    <s v="STIP 1"/>
    <s v="XL"/>
    <s v="TB"/>
    <s v="023518/TBG-TB/XL/MKT/06/2020"/>
    <d v="2020-06-25T00:00:00"/>
    <s v="-6.521003"/>
    <s v="107.118578"/>
    <s v="Kp. Jangkar RT. 001 RW. 001 Desa Mekarwangi Kec. Cariu, Kab. Bogor Prov. Jawa Barat"/>
    <s v="JABODETABEK (OUTER)"/>
    <x v="3"/>
    <s v="JAWA BARAT"/>
    <s v="52"/>
    <s v="BAPS"/>
    <s v="BAPS"/>
    <s v="RFI"/>
    <m/>
    <m/>
    <s v="LUCKI DWI PRISTANTO"/>
    <s v="FAZAR GANNY"/>
    <m/>
    <s v="LUCKI DWI PRISTANTO"/>
    <s v="FAZAR GANNY"/>
    <s v="PUSPITO HADIYANTO"/>
    <s v="SHERLY MAULANA"/>
    <x v="2"/>
    <s v="PT ORLIE INDONESIA"/>
    <d v="2020-07-30T15:38:32"/>
    <d v="2020-08-24T19:22:03"/>
    <d v="2020-09-25T00:00:00"/>
    <m/>
    <d v="2020-12-29T00:00:00"/>
    <d v="2020-08-13T11:05:43"/>
    <d v="2020-08-14T11:21:41"/>
    <d v="2020-08-14T13:50:24"/>
    <m/>
    <d v="2020-08-21T13:15:24"/>
    <d v="2020-09-22T00:00:00"/>
    <m/>
    <s v="200"/>
    <d v="2020-09-28T00:00:00"/>
    <d v="2020-08-20T00:00:00"/>
    <d v="2020-12-21T00:00:00"/>
    <d v="2020-11-09T00:00:00"/>
    <d v="2020-11-06T13:14:44"/>
    <s v="2040/TB/BAUF-XL/IX/2020"/>
    <m/>
    <d v="2020-09-09T13:48:00"/>
    <s v="PO/TB/20/N015143"/>
    <d v="2020-10-14T18:17:00"/>
    <m/>
    <s v="15 Month"/>
    <m/>
    <m/>
    <m/>
    <d v="2020-11-24T14:25:54"/>
    <d v="2020-12-29T00:00:00"/>
    <d v="2030-12-28T00:00:00"/>
    <d v="2020-06-25T00:00:00"/>
    <d v="2020-08-24T00:00:00"/>
    <d v="2020-08-28T15:56:12"/>
    <d v="2020-09-03T00:00:00"/>
    <d v="2020-09-08T09:00:30"/>
    <m/>
    <m/>
    <s v="SST            "/>
    <s v="52                  "/>
    <s v="GF                  "/>
    <s v="1"/>
    <d v="2020-08-20T00:00:00"/>
    <d v="2021-02-26T00:00:00"/>
    <d v="2021-01-15T00:00:00"/>
    <m/>
    <s v="RFL"/>
    <d v="2020-08-24T00:00:00"/>
    <s v="OPM-SSTA/XII/2020/0016"/>
    <s v="-"/>
    <m/>
    <m/>
    <m/>
    <m/>
    <s v="538671124632"/>
    <d v="2020-09-22T00:00:00"/>
    <s v="PLN REGULER"/>
    <s v="Commitment New Roll Out 2020 Exp Dec 2020 - SRFI"/>
    <s v="OUTDOOR"/>
    <d v="2020-09-25T14:25:54"/>
    <s v="Rural"/>
    <s v="RTC 1"/>
    <s v="Standard"/>
    <s v="PO/TB/20/N012801"/>
    <n v="90600000"/>
    <n v="15600000"/>
    <n v="75000000"/>
    <x v="2"/>
  </r>
  <r>
    <s v="0030595400031"/>
    <n v="30595400031"/>
    <x v="96"/>
    <s v="JAW-JB-BGR-0220"/>
    <s v="PARUNG PANJANG BOGOR"/>
    <s v="Parung Panjang Bogor"/>
    <x v="0"/>
    <s v="-"/>
    <s v="STIP 1"/>
    <s v="XL"/>
    <s v="TB"/>
    <s v="023520/TBG-TB/XL/MKT/06/2020"/>
    <d v="2020-06-25T00:00:00"/>
    <s v="-6.4141"/>
    <s v="106.58765"/>
    <s v="Jl. Raya Dago-Parung Panjang RT. 003 RW. 003 Desa Dago Kecamatan Parung Panjang Kabupaten Bogor"/>
    <s v="JABODETABEK (OUTER)"/>
    <x v="3"/>
    <s v="JAWA BARAT"/>
    <s v="52"/>
    <s v="BAPS"/>
    <s v="BAPS"/>
    <s v="RFI"/>
    <m/>
    <m/>
    <s v="LUCKI DWI PRISTANTO"/>
    <s v="FANDI KURNIAWAN SAPUTRA"/>
    <m/>
    <s v="LUCKI DWI PRISTANTO"/>
    <s v="FAZAR GANNY"/>
    <s v="PUSPITO HADIYANTO"/>
    <s v="SHERLY MAULANA"/>
    <x v="0"/>
    <s v="PT. Banjarpasir Nusa Pratama"/>
    <d v="2020-07-27T19:28:19"/>
    <d v="2020-07-30T16:40:23"/>
    <d v="2020-09-12T00:00:00"/>
    <m/>
    <d v="2020-09-26T00:00:00"/>
    <d v="2020-07-27T21:19:36"/>
    <d v="2020-07-27T22:57:16"/>
    <d v="2020-07-30T01:19:46"/>
    <m/>
    <d v="2020-07-30T07:23:36"/>
    <d v="2020-09-10T00:00:00"/>
    <m/>
    <s v="200"/>
    <d v="2020-09-10T00:00:00"/>
    <d v="2020-09-18T00:00:00"/>
    <d v="2020-11-09T00:00:00"/>
    <d v="2020-11-06T00:00:00"/>
    <d v="2020-11-04T16:14:16"/>
    <s v="2041/TB/BAUF-XL/IX/2020"/>
    <m/>
    <d v="2020-08-05T12:38:00"/>
    <s v="PO/TB/20/N012087"/>
    <d v="2020-08-21T07:20:00"/>
    <m/>
    <s v="15 Month"/>
    <m/>
    <m/>
    <m/>
    <d v="2020-11-11T13:04:53"/>
    <d v="2020-09-26T00:00:00"/>
    <d v="2030-09-25T00:00:00"/>
    <d v="2020-06-25T00:00:00"/>
    <d v="2020-08-14T00:00:00"/>
    <d v="2020-08-17T11:18:51"/>
    <d v="2020-08-20T00:00:00"/>
    <d v="2020-08-21T21:59:42"/>
    <d v="2020-10-23T00:00:00"/>
    <d v="2020-08-14T00:00:00"/>
    <s v="SST            "/>
    <s v="52                  "/>
    <s v="GF                  "/>
    <s v="1"/>
    <d v="2020-09-18T00:00:00"/>
    <d v="2020-11-30T00:00:00"/>
    <d v="2020-12-12T00:00:00"/>
    <m/>
    <s v="RFL"/>
    <d v="2020-07-30T00:00:00"/>
    <s v="OPM-SSTA/XII/2020/0013"/>
    <s v="Oke"/>
    <d v="2020-12-18T09:32:29"/>
    <m/>
    <m/>
    <m/>
    <s v="538531094526"/>
    <d v="2020-09-10T00:00:00"/>
    <s v="PLN REGULER"/>
    <s v="Commitment New Roll Out 2020 Exp Dec 2020 - SRFI"/>
    <s v="OUTDOOR"/>
    <d v="2020-09-12T13:04:53"/>
    <s v="Rural"/>
    <s v="RTC 1"/>
    <s v="Standard"/>
    <s v="PO/TB/20/N011384"/>
    <n v="84000000"/>
    <n v="7500000"/>
    <n v="76500000"/>
    <x v="4"/>
  </r>
  <r>
    <s v="0030595410031"/>
    <n v="30595410031"/>
    <x v="97"/>
    <s v="JAW-JB-BGR-0222"/>
    <s v="BABAKAN MADANG BOGOR"/>
    <s v="Babakan Madang Bogor"/>
    <x v="0"/>
    <s v="-"/>
    <s v="STIP 1"/>
    <s v="XL"/>
    <s v="TB"/>
    <s v="023521/TBG-TB/XL/MKT/06/2020"/>
    <d v="2020-06-25T00:00:00"/>
    <s v="-6.62145"/>
    <s v="106.90257"/>
    <s v="Kp. Curug RT 001 RW 009 Desa Bojong Koneng Kecamatan Babakan Madang Kabaupaten Bogor."/>
    <s v="JABODETABEK (OUTER)"/>
    <x v="3"/>
    <s v="JAWA BARAT"/>
    <s v="52"/>
    <s v="RFI"/>
    <s v="CME"/>
    <s v="RFI"/>
    <m/>
    <m/>
    <s v="LUCKI DWI PRISTANTO"/>
    <s v="FANDI KURNIAWAN SAPUTRA"/>
    <m/>
    <s v="LUCKI DWI PRISTANTO"/>
    <s v="FAZAR GANNY"/>
    <s v="PUSPITO HADIYANTO"/>
    <s v="SHERLY MAULANA"/>
    <x v="0"/>
    <s v="PT. Banjarpasir Nusa Pratama"/>
    <d v="2020-10-14T20:47:56"/>
    <d v="2020-10-16T17:12:14"/>
    <d v="2020-11-26T00:00:00"/>
    <m/>
    <m/>
    <d v="2020-10-15T22:49:53"/>
    <d v="2020-10-16T10:48:54"/>
    <d v="2020-10-16T13:46:57"/>
    <m/>
    <d v="2020-10-16T14:12:48"/>
    <d v="2020-11-22T00:00:00"/>
    <m/>
    <s v="200"/>
    <d v="2020-11-15T00:00:00"/>
    <d v="2020-10-18T00:00:00"/>
    <d v="2021-01-08T00:00:00"/>
    <m/>
    <d v="2021-01-06T15:44:48"/>
    <m/>
    <m/>
    <d v="2020-10-25T18:37:00"/>
    <s v="PO/TB/20/N017113"/>
    <d v="2020-11-20T14:05:00"/>
    <m/>
    <s v="15 Month"/>
    <m/>
    <m/>
    <m/>
    <d v="2021-01-25T16:12:40"/>
    <m/>
    <m/>
    <d v="2020-06-25T00:00:00"/>
    <d v="2020-10-23T00:00:00"/>
    <d v="2020-10-26T13:35:24"/>
    <d v="2020-11-03T00:00:00"/>
    <d v="2020-11-12T16:34:26"/>
    <d v="2020-12-17T00:00:00"/>
    <d v="1899-12-31T00:00:00"/>
    <s v="SST            "/>
    <s v="52                  "/>
    <s v="GF                  "/>
    <s v="1"/>
    <d v="2020-10-18T00:00:00"/>
    <d v="2020-12-31T00:00:00"/>
    <d v="2021-02-20T00:00:00"/>
    <m/>
    <s v="RFL"/>
    <d v="2020-10-16T00:00:00"/>
    <m/>
    <s v="-"/>
    <m/>
    <m/>
    <m/>
    <m/>
    <s v="538614702053"/>
    <d v="2020-11-22T00:00:00"/>
    <s v="PLN REGULER"/>
    <s v="Commitment New Roll Out 2020 Exp Dec 2020 - SRFI"/>
    <s v="OUTDOOR"/>
    <d v="2020-11-26T16:12:40"/>
    <s v="Sub Urban"/>
    <s v="RTC 1"/>
    <s v="Standard"/>
    <s v="PO/TB/20/N015685"/>
    <n v="95000000"/>
    <n v="20500000"/>
    <n v="74500000"/>
    <x v="2"/>
  </r>
  <r>
    <s v="0030595420031"/>
    <n v="30595420031"/>
    <x v="98"/>
    <s v="JAW-JB-BGR-0223"/>
    <s v="JALAN RAYA CARIU JONGGOL"/>
    <s v="Jalan Raya Cariu Jonggol"/>
    <x v="0"/>
    <s v="-"/>
    <s v="STIP 1"/>
    <s v="XL"/>
    <s v="TB"/>
    <s v="023522/TBG-TB/XL/MKT/06/2020"/>
    <d v="2020-06-25T00:00:00"/>
    <s v="-6.486067"/>
    <s v="107.10965"/>
    <s v="Kp. Seredang RT. 010 RW. 003 Desa Tegal Panjang Kec. Cariu, Kab. Bogor Prov. Jawa Barat"/>
    <s v="JABODETABEK (OUTER)"/>
    <x v="3"/>
    <s v="JAWA BARAT"/>
    <s v="42"/>
    <s v="BAPS"/>
    <s v="BAPS"/>
    <s v="RFI"/>
    <m/>
    <m/>
    <s v="LUCKI DWI PRISTANTO"/>
    <s v="FAZAR GANNY"/>
    <m/>
    <s v="LUCKI DWI PRISTANTO"/>
    <s v="FAZAR GANNY"/>
    <s v="PUSPITO HADIYANTO"/>
    <s v="SHERLY MAULANA"/>
    <x v="2"/>
    <s v="PT ORLIE INDONESIA"/>
    <d v="2020-08-11T18:54:11"/>
    <d v="2020-08-25T20:42:58"/>
    <d v="2020-09-26T00:00:00"/>
    <m/>
    <d v="2020-12-29T00:00:00"/>
    <d v="2020-08-25T10:20:40"/>
    <d v="2020-08-25T11:46:53"/>
    <d v="2020-08-25T13:30:38"/>
    <m/>
    <d v="2020-08-25T18:50:59"/>
    <d v="2020-09-22T00:00:00"/>
    <m/>
    <s v="200"/>
    <d v="2020-09-21T00:00:00"/>
    <d v="2020-08-20T00:00:00"/>
    <d v="2020-11-30T00:00:00"/>
    <d v="2020-11-20T00:00:00"/>
    <d v="2020-11-18T17:47:29"/>
    <s v="2042/TB/BAUF-XL/IX/2020"/>
    <m/>
    <d v="2020-09-09T13:51:00"/>
    <s v="PO/TB/20/N014057"/>
    <d v="2020-09-28T20:28:00"/>
    <m/>
    <s v="15 Month"/>
    <m/>
    <m/>
    <m/>
    <d v="2020-11-25T08:45:46"/>
    <d v="2020-12-29T00:00:00"/>
    <d v="2030-12-28T00:00:00"/>
    <d v="2020-06-25T00:00:00"/>
    <d v="2020-09-01T00:00:00"/>
    <d v="2020-09-09T13:53:57"/>
    <d v="2020-09-08T00:00:00"/>
    <d v="2020-09-14T11:47:33"/>
    <m/>
    <m/>
    <s v="SST            "/>
    <s v="42                  "/>
    <s v="GF                  "/>
    <s v="1"/>
    <d v="2020-08-20T00:00:00"/>
    <d v="2021-02-26T00:00:00"/>
    <d v="2021-01-15T00:00:00"/>
    <m/>
    <s v="RFL"/>
    <d v="2020-08-27T00:00:00"/>
    <s v="OPM-SSTA/XII/2020/0017"/>
    <s v="-"/>
    <m/>
    <m/>
    <m/>
    <m/>
    <s v="538671124640"/>
    <d v="2020-09-22T00:00:00"/>
    <s v="PLN REGULER"/>
    <s v="Commitment New Roll Out 2020 Exp Dec 2020 - SRFI"/>
    <s v="OUTDOOR"/>
    <d v="2020-09-26T08:45:46"/>
    <s v="Rural"/>
    <s v="RTC 1"/>
    <s v="Standard"/>
    <s v="PO/TB/20/N012803"/>
    <n v="89900000"/>
    <n v="12900000"/>
    <n v="77000000"/>
    <x v="4"/>
  </r>
  <r>
    <s v="0030595430031"/>
    <n v="30595430031"/>
    <x v="99"/>
    <s v="JAW-JB-BGR-0224"/>
    <s v="CIPINANG RUMPIN BOGOR"/>
    <s v="Cipinang Rumpin Bogor"/>
    <x v="0"/>
    <s v="-"/>
    <s v="STIP 1"/>
    <s v="XL"/>
    <s v="TB"/>
    <s v="023523/TBG-TB/XL/MKT/06/2020"/>
    <d v="2020-06-25T00:00:00"/>
    <s v="-6.44004"/>
    <s v="106.61765"/>
    <s v="Kp. GN. Cabe RT 001 RW 004 Desa Cipinang Kec Rumpin, Kab. Bogor Prov. Jawa Barat"/>
    <s v="JABODETABEK (OUTER)"/>
    <x v="3"/>
    <s v="JAWA BARAT"/>
    <s v="52"/>
    <s v="BAPS"/>
    <s v="BAPS"/>
    <s v="RFI"/>
    <m/>
    <m/>
    <s v="LUCKI DWI PRISTANTO"/>
    <s v="FAZAR GANNY"/>
    <m/>
    <s v="LUCKI DWI PRISTANTO"/>
    <s v="FAZAR GANNY"/>
    <s v="PUSPITO HADIYANTO"/>
    <s v="SHERLY MAULANA"/>
    <x v="2"/>
    <s v="PT ORLIE INDONESIA"/>
    <d v="2020-08-11T18:54:26"/>
    <d v="2020-08-31T07:36:13"/>
    <d v="2020-09-26T00:00:00"/>
    <m/>
    <d v="2020-11-14T00:00:00"/>
    <d v="2020-08-26T10:55:54"/>
    <d v="2020-08-28T08:55:48"/>
    <d v="2020-08-28T09:24:14"/>
    <m/>
    <d v="2020-08-28T13:44:28"/>
    <d v="2020-09-24T00:00:00"/>
    <m/>
    <s v="200"/>
    <d v="2020-09-21T00:00:00"/>
    <d v="2020-08-20T00:00:00"/>
    <d v="2020-11-30T00:00:00"/>
    <d v="2020-11-20T00:00:00"/>
    <d v="2020-11-18T17:17:33"/>
    <s v="2043/TB/BAUF-XL/IX/2020"/>
    <m/>
    <d v="2020-09-29T13:18:00"/>
    <s v="PO/TB/20/N014054"/>
    <d v="2020-09-28T20:18:00"/>
    <m/>
    <s v="15 Month"/>
    <m/>
    <m/>
    <m/>
    <d v="2020-11-25T08:46:25"/>
    <d v="2020-11-14T00:00:00"/>
    <d v="2030-11-13T00:00:00"/>
    <d v="2020-06-25T00:00:00"/>
    <d v="2020-09-02T00:00:00"/>
    <d v="2020-09-09T13:53:33"/>
    <d v="2020-09-09T00:00:00"/>
    <d v="2020-09-17T18:12:18"/>
    <m/>
    <m/>
    <s v="SST            "/>
    <s v="52                  "/>
    <s v="GF                  "/>
    <s v="1"/>
    <d v="2020-08-20T00:00:00"/>
    <d v="2021-02-26T00:00:00"/>
    <d v="2020-12-12T00:00:00"/>
    <m/>
    <s v="RFL"/>
    <d v="2020-08-31T00:00:00"/>
    <s v="OPM-SSTA/XII/2020/0014"/>
    <s v="Oke"/>
    <d v="2020-12-23T17:12:03"/>
    <m/>
    <m/>
    <m/>
    <s v="538531101128"/>
    <d v="2020-09-24T00:00:00"/>
    <s v="PLN REGULER"/>
    <s v="Commitment New Roll Out 2020 Exp Dec 2020 - SRFI"/>
    <s v="OUTDOOR"/>
    <d v="2020-09-26T08:46:25"/>
    <s v="Rural"/>
    <s v="RTC 1"/>
    <s v="Standard"/>
    <s v="PO/TB/20/N014091"/>
    <n v="96500000"/>
    <n v="26500000"/>
    <n v="70000000"/>
    <x v="4"/>
  </r>
  <r>
    <s v="0230560240231"/>
    <n v="230560240231"/>
    <x v="100"/>
    <s v="ZJKT_5552"/>
    <s v="SEPATAN TANGERANG"/>
    <s v="SEPATAN TANGERANG"/>
    <x v="0"/>
    <s v="-"/>
    <s v="STIP 1"/>
    <s v="SMART8"/>
    <s v="TB"/>
    <s v="016837/TBG-TB/SMART8/MKT/12/2019"/>
    <d v="2019-12-30T00:00:00"/>
    <s v="-6.14699"/>
    <s v="106.58906"/>
    <s v="Kp.Cadas RT.01 RW.01 Desa Karet Kecamatan Sepatan Kabupaten Tangerang"/>
    <s v="JABODETABEK (OUTER)"/>
    <x v="2"/>
    <s v="BANTEN"/>
    <s v="42"/>
    <s v="RFI"/>
    <s v="CME"/>
    <s v="RFI"/>
    <m/>
    <m/>
    <s v="LUCKI DWI PRISTANTO"/>
    <s v="FANDI KURNIAWAN SAPUTRA"/>
    <s v="A. RACHMAN"/>
    <s v="LUCKI DWI PRISTANTO"/>
    <s v="FAZAR GANNY"/>
    <s v="M ARIF HELMI"/>
    <s v="YUSTIA HARKAT"/>
    <x v="9"/>
    <m/>
    <d v="2020-07-17T17:02:33"/>
    <d v="2020-07-27T11:42:03"/>
    <d v="2020-12-16T00:00:00"/>
    <m/>
    <m/>
    <d v="2020-07-22T10:40:52"/>
    <d v="2020-07-24T19:18:33"/>
    <d v="2020-07-25T10:02:27"/>
    <m/>
    <d v="2020-07-26T11:43:10"/>
    <d v="2020-12-11T00:00:00"/>
    <m/>
    <s v="378"/>
    <d v="2020-12-10T00:00:00"/>
    <d v="2020-09-25T00:00:00"/>
    <d v="2021-01-10T00:00:00"/>
    <m/>
    <m/>
    <m/>
    <m/>
    <d v="2020-09-09T13:59:00"/>
    <m/>
    <d v="1899-12-31T00:00:00"/>
    <m/>
    <m/>
    <m/>
    <m/>
    <m/>
    <d v="2021-03-16T18:48:30"/>
    <m/>
    <m/>
    <d v="2019-12-31T00:00:00"/>
    <d v="2020-11-09T00:00:00"/>
    <d v="2020-11-27T13:24:28"/>
    <d v="2020-11-12T00:00:00"/>
    <d v="2020-12-07T09:30:44"/>
    <m/>
    <m/>
    <s v="SST            "/>
    <s v="42                  "/>
    <s v="GF                  "/>
    <s v="1"/>
    <d v="2020-09-25T00:00:00"/>
    <d v="2021-01-31T00:00:00"/>
    <d v="2021-03-10T00:00:00"/>
    <m/>
    <s v="RFL"/>
    <d v="2020-07-29T00:00:00"/>
    <m/>
    <s v="-"/>
    <m/>
    <m/>
    <m/>
    <m/>
    <s v="566601736291"/>
    <d v="2020-12-11T00:00:00"/>
    <s v="PLN REGULER"/>
    <s v="Phase 7 - Smartfren - Soft RFI"/>
    <s v="OUTDOOR"/>
    <d v="2020-12-16T18:48:30"/>
    <s v="Urban"/>
    <m/>
    <s v="Standard"/>
    <s v="PO/TB/20/N012806"/>
    <n v="88500000"/>
    <n v="11000000"/>
    <n v="77500000"/>
    <x v="2"/>
  </r>
  <r>
    <s v="0230560370231"/>
    <n v="230560370231"/>
    <x v="101"/>
    <s v="ZJKT2_5014"/>
    <s v="TELUKJAMBE TIMUR"/>
    <s v="TELUKJAMBE TIMUR"/>
    <x v="0"/>
    <s v="-"/>
    <s v="STIP 1"/>
    <s v="SMART8"/>
    <s v="TB"/>
    <s v="016850/TBG-TB/SMART8/MKT/12/2019"/>
    <d v="2019-12-30T00:00:00"/>
    <s v="-6.33690"/>
    <s v="107.29100"/>
    <s v="Jl. Raya Sukaluyu Rt.001 Rw.001 kel. Sukaluyu, Kec. Telukjambe timur, Kab. Karawang Prov Jawa Barat"/>
    <s v="JABODETABEK (OUTER)"/>
    <x v="4"/>
    <s v="JAWA BARAT"/>
    <s v="42"/>
    <s v="RFI"/>
    <s v="CME"/>
    <s v="RFI"/>
    <m/>
    <m/>
    <s v="LUCKI DWI PRISTANTO"/>
    <s v="FANDI KURNIAWAN SAPUTRA"/>
    <s v="A. RACHMAN"/>
    <s v="LUCKI DWI PRISTANTO"/>
    <s v="FAZAR GANNY"/>
    <s v="PUSPITO HADIYANTO"/>
    <s v="YUSTIA HARKAT"/>
    <x v="12"/>
    <s v="PT. Lintas Banyu Lestari"/>
    <d v="2020-07-22T10:13:33"/>
    <d v="2020-07-22T18:57:09"/>
    <d v="2020-08-31T00:00:00"/>
    <m/>
    <m/>
    <d v="2020-07-22T11:40:49"/>
    <d v="2020-07-22T14:37:30"/>
    <d v="2020-07-22T15:24:09"/>
    <m/>
    <d v="2020-07-22T18:09:55"/>
    <d v="2020-10-18T00:00:00"/>
    <m/>
    <s v="378"/>
    <d v="2020-09-10T00:00:00"/>
    <d v="2020-07-15T00:00:00"/>
    <d v="2020-12-21T00:00:00"/>
    <d v="2020-12-13T00:00:00"/>
    <d v="2020-12-08T17:04:15"/>
    <m/>
    <m/>
    <d v="2020-08-21T20:42:00"/>
    <s v="PO/TB/20/N013499"/>
    <d v="2020-09-19T15:40:00"/>
    <m/>
    <m/>
    <m/>
    <m/>
    <m/>
    <d v="2020-11-29T15:08:29"/>
    <m/>
    <m/>
    <d v="2019-12-31T00:00:00"/>
    <d v="2020-08-08T00:00:00"/>
    <d v="2020-08-27T13:06:04"/>
    <d v="2020-08-20T00:00:00"/>
    <d v="2020-08-27T13:33:33"/>
    <m/>
    <m/>
    <s v="SST"/>
    <s v="42"/>
    <s v="GF"/>
    <s v="1"/>
    <d v="2020-07-15T00:00:00"/>
    <d v="2020-12-31T00:00:00"/>
    <d v="2020-12-12T00:00:00"/>
    <m/>
    <s v="RFL"/>
    <d v="2020-07-23T00:00:00"/>
    <s v="OPM-SSTA/XII/2020/0018"/>
    <s v="Oke"/>
    <d v="2020-12-16T14:22:59"/>
    <m/>
    <m/>
    <m/>
    <s v="534757781220"/>
    <d v="2020-10-18T00:00:00"/>
    <s v="PLN REGULER"/>
    <s v="Phase 7 - Smartfren - Soft RFI"/>
    <s v="OUTDOOR"/>
    <d v="2020-08-31T00:00:00"/>
    <s v="Sub Urban"/>
    <s v="RTC 1"/>
    <s v="Standard"/>
    <s v="PO/TB/20/N012117"/>
    <n v="90000000"/>
    <n v="16000000"/>
    <n v="74000000"/>
    <x v="2"/>
  </r>
  <r>
    <s v="0230560400231"/>
    <n v="230560400231"/>
    <x v="102"/>
    <s v="ZJKT2_5543"/>
    <s v="CAKUNG JAKTIM"/>
    <s v="CAKUNG JAKTIM"/>
    <x v="1"/>
    <s v="-"/>
    <s v="STIP 1"/>
    <s v="SMART8"/>
    <s v="TB"/>
    <s v="016853/TBG-TB/SMART8/MKT/12/2019"/>
    <d v="2019-12-30T00:00:00"/>
    <s v="-6.19301"/>
    <s v="106.96946"/>
    <s v="Rawa bebek RT 07 RW 05 kel ujung menteng  Kec cakung  Jaktim"/>
    <s v="JABODETABEK (INNER)"/>
    <x v="10"/>
    <s v="DKI JAKARTA"/>
    <s v="20"/>
    <s v="BAPS"/>
    <s v="BAPS"/>
    <s v="RFI"/>
    <m/>
    <m/>
    <s v="LUCKI DWI PRISTANTO"/>
    <s v="FAZAR GANNY"/>
    <s v="A. RACHMAN"/>
    <s v="LUCKI DWI PRISTANTO"/>
    <s v="FAZAR GANNY"/>
    <s v="PUSPITO HADIYANTO"/>
    <s v="YUSTIA HARKAT"/>
    <x v="1"/>
    <m/>
    <d v="2020-02-27T19:50:54"/>
    <d v="2020-02-27T20:12:56"/>
    <d v="2020-02-29T00:00:00"/>
    <m/>
    <d v="2020-10-09T00:00:00"/>
    <m/>
    <d v="2020-02-27T19:54:13"/>
    <m/>
    <m/>
    <d v="2020-02-27T19:55:00"/>
    <d v="2020-03-03T00:00:00"/>
    <m/>
    <s v="378"/>
    <d v="2020-03-27T00:00:00"/>
    <d v="2020-02-21T00:00:00"/>
    <d v="2020-05-20T00:00:00"/>
    <d v="2020-05-26T00:00:00"/>
    <d v="2020-05-26T07:49:30"/>
    <s v="873/TBE/TOWER/BAPS-SMARTFREN/IX/20"/>
    <m/>
    <d v="1899-12-31T00:00:00"/>
    <m/>
    <d v="1899-12-31T00:00:00"/>
    <m/>
    <m/>
    <m/>
    <m/>
    <m/>
    <d v="2020-05-29T15:44:15"/>
    <d v="2020-10-09T00:00:00"/>
    <d v="2025-10-08T00:00:00"/>
    <d v="2019-12-31T00:00:00"/>
    <d v="2020-02-29T00:00:00"/>
    <d v="2020-02-29T15:19:14"/>
    <d v="2020-02-29T00:00:00"/>
    <d v="2020-02-29T15:19:44"/>
    <m/>
    <m/>
    <s v="MP"/>
    <s v="20"/>
    <s v="GF"/>
    <s v="1"/>
    <d v="2020-05-29T00:00:00"/>
    <m/>
    <d v="2020-07-15T00:00:00"/>
    <d v="2020-03-13T00:00:00"/>
    <s v="RFL"/>
    <d v="2020-03-30T00:00:00"/>
    <s v="OPM-SSTA/V/2020/0033"/>
    <s v="OK - sudah di cek AFO &amp; OME"/>
    <d v="2020-06-22T11:51:18"/>
    <m/>
    <m/>
    <m/>
    <s v="544204683954"/>
    <d v="2020-03-03T00:00:00"/>
    <s v="PLN REGULER"/>
    <s v="Phase 7 - Smartfren"/>
    <s v="OUTDOOR"/>
    <d v="2020-02-29T15:44:15"/>
    <s v="Sub Urban"/>
    <m/>
    <s v="Lumpsum &amp; Fasum"/>
    <m/>
    <m/>
    <m/>
    <m/>
    <x v="7"/>
  </r>
  <r>
    <s v="0230575280231"/>
    <n v="230575280231"/>
    <x v="103"/>
    <s v="ZJKT2_4258"/>
    <s v="TAPOS DEPOK"/>
    <s v="TAPOS DEPOK"/>
    <x v="0"/>
    <s v="-"/>
    <s v="STIP 1"/>
    <s v="SMART8"/>
    <s v="TB"/>
    <s v="019280/TBG-TB/SMART8/MKT/01/2020"/>
    <d v="2020-01-28T00:00:00"/>
    <s v="-6.41114"/>
    <s v="106.88391"/>
    <s v="Kp. Setu RT. 004 RW. 008 Kelurahan Cilangkap, Kecamatan Tapos, Kota Depok – Jawa Barat"/>
    <s v="JABODETABEK (INNER)"/>
    <x v="12"/>
    <s v="JAWA BARAT"/>
    <s v="32"/>
    <s v="RFI"/>
    <s v="CME"/>
    <s v="RFI"/>
    <m/>
    <m/>
    <s v="LUCKI DWI PRISTANTO"/>
    <s v="FAZAR GANNY"/>
    <s v="A. RACHMAN"/>
    <s v="LUCKI DWI PRISTANTO"/>
    <s v="FAZAR GANNY"/>
    <s v="PUSPITO HADIYANTO"/>
    <s v="YUSTIA HARKAT"/>
    <x v="12"/>
    <s v="PT. Lintas Banyu Lestari"/>
    <d v="2020-07-20T17:13:40"/>
    <d v="2020-07-22T08:56:57"/>
    <d v="2020-08-25T00:00:00"/>
    <m/>
    <m/>
    <d v="2020-07-20T18:11:26"/>
    <d v="2020-07-21T10:15:10"/>
    <d v="2020-07-21T13:46:25"/>
    <m/>
    <d v="2020-07-21T21:27:33"/>
    <d v="2020-10-08T00:00:00"/>
    <m/>
    <s v="349"/>
    <d v="2020-08-25T00:00:00"/>
    <d v="2020-07-15T00:00:00"/>
    <d v="2020-12-21T00:00:00"/>
    <d v="2020-12-13T00:00:00"/>
    <d v="2020-12-10T13:21:56"/>
    <m/>
    <m/>
    <d v="2020-08-21T20:28:00"/>
    <s v="PO/TB/20/N012353"/>
    <d v="2020-08-28T18:33:00"/>
    <m/>
    <m/>
    <m/>
    <m/>
    <m/>
    <d v="2020-11-23T17:52:28"/>
    <m/>
    <m/>
    <d v="2020-01-29T00:00:00"/>
    <d v="2020-07-25T00:00:00"/>
    <d v="2020-08-13T18:34:53"/>
    <d v="2020-08-03T00:00:00"/>
    <d v="2020-08-21T16:02:42"/>
    <m/>
    <m/>
    <s v="MP             "/>
    <s v="32                  "/>
    <s v="GF                  "/>
    <s v="1"/>
    <d v="2020-07-15T00:00:00"/>
    <d v="2021-02-26T00:00:00"/>
    <d v="2020-11-20T00:00:00"/>
    <m/>
    <s v="RFL"/>
    <d v="2020-07-22T00:00:00"/>
    <s v="OPM-SSTA/XI/2020/0304"/>
    <s v="OK - SESUAI HASIL CEK AFO &amp; OME"/>
    <d v="2020-11-30T18:11:00"/>
    <m/>
    <m/>
    <m/>
    <s v="538722654073"/>
    <d v="2020-10-08T00:00:00"/>
    <s v="PLN REGULER"/>
    <s v="Phase 7 - Smartfren - Soft RFI"/>
    <s v="OUTDOOR"/>
    <d v="2020-08-25T00:00:00"/>
    <s v="Sub Urban"/>
    <s v="RTC 2 B"/>
    <s v="Standard"/>
    <s v="PO/TB/20/N012112"/>
    <n v="85000000"/>
    <n v="7500000"/>
    <n v="77500000"/>
    <x v="2"/>
  </r>
  <r>
    <s v="0230575290231"/>
    <n v="230575290231"/>
    <x v="104"/>
    <s v="ZJKT2_4537"/>
    <s v="KARAWACI 850"/>
    <s v="KARAWACI 850"/>
    <x v="0"/>
    <s v="-"/>
    <s v="STIP 1"/>
    <s v="SMART8"/>
    <s v="TB"/>
    <s v="019281/TBG-TB/SMART8/MKT/01/2020"/>
    <d v="2020-01-28T00:00:00"/>
    <s v="-6.17607"/>
    <s v="106.62659"/>
    <s v="Jl.Otista 05 C, RT.001/RW.002, Gerendeng, Kec. Karawaci, Kota Tangerang, Banten "/>
    <s v="JABODETABEK (INNER)"/>
    <x v="1"/>
    <s v="BANTEN"/>
    <s v="25"/>
    <s v="BAPS"/>
    <s v="BAPS"/>
    <s v="RFI"/>
    <m/>
    <m/>
    <s v="LUCKI DWI PRISTANTO"/>
    <s v="FAZAR GANNY"/>
    <s v="A. RACHMAN"/>
    <s v="LUCKI DWI PRISTANTO"/>
    <s v="FAZAR GANNY"/>
    <s v="M ARIF HELMI"/>
    <s v="YUSTIA HARKAT"/>
    <x v="7"/>
    <s v="PT. ROTUA ABADI JAYA"/>
    <d v="2020-07-16T18:04:41"/>
    <d v="2020-07-23T18:41:20"/>
    <d v="2020-10-08T00:00:00"/>
    <m/>
    <d v="2021-05-07T00:00:00"/>
    <d v="2020-07-20T18:56:32"/>
    <d v="2020-07-21T15:36:01"/>
    <d v="2020-07-22T11:05:32"/>
    <m/>
    <d v="2020-07-22T15:14:00"/>
    <d v="2020-09-20T00:00:00"/>
    <m/>
    <s v="349"/>
    <d v="2020-10-05T00:00:00"/>
    <d v="2020-07-15T00:00:00"/>
    <d v="2020-11-10T00:00:00"/>
    <d v="2020-11-16T00:00:00"/>
    <d v="2020-11-11T14:49:19"/>
    <s v="1250/TBE/TOWER/BAPS-SMARTFREN/XII/20"/>
    <m/>
    <d v="2020-09-09T13:44:00"/>
    <s v="PO/TB/20/N017426"/>
    <d v="2020-11-25T19:23:00"/>
    <m/>
    <m/>
    <m/>
    <m/>
    <m/>
    <d v="2021-01-06T14:08:06"/>
    <d v="2021-05-07T00:00:00"/>
    <d v="2026-05-06T00:00:00"/>
    <d v="2020-01-29T00:00:00"/>
    <d v="2020-07-16T00:00:00"/>
    <d v="2020-09-22T12:29:50"/>
    <d v="2020-09-21T00:00:00"/>
    <d v="2020-10-02T16:41:42"/>
    <m/>
    <m/>
    <s v="MT             "/>
    <s v="25                  "/>
    <s v="RT                  "/>
    <s v="1"/>
    <d v="2020-07-15T00:00:00"/>
    <d v="2021-02-28T00:00:00"/>
    <d v="2021-01-15T00:00:00"/>
    <m/>
    <s v="RFL"/>
    <d v="2020-07-29T00:00:00"/>
    <s v="OPM-SSTA/X/2020/0211"/>
    <s v="-"/>
    <m/>
    <m/>
    <m/>
    <m/>
    <s v="566101110906"/>
    <d v="2020-09-20T00:00:00"/>
    <s v="PLN REGULER"/>
    <s v="Phase 7 - Smartfren - Soft RFI"/>
    <s v="OUTDOOR"/>
    <d v="2020-10-08T14:08:06"/>
    <s v="Urban"/>
    <s v="RTC 2 B"/>
    <s v="Standard"/>
    <s v="PO/TB/20/N012800"/>
    <n v="98000000"/>
    <n v="18000000"/>
    <n v="80000000"/>
    <x v="1"/>
  </r>
  <r>
    <s v="0230575310231"/>
    <n v="230575310231"/>
    <x v="105"/>
    <s v="ZJKT2_5027"/>
    <s v="PANONGAN TANGERANG"/>
    <s v="PANONGAN TANGERANG"/>
    <x v="0"/>
    <s v="-"/>
    <s v="STIP 1"/>
    <s v="SMART8"/>
    <s v="TB"/>
    <s v="019283/TBG-TB/SMART8/MKT/01/2020"/>
    <d v="2020-01-28T00:00:00"/>
    <s v="-6.26734"/>
    <s v="106.54437"/>
    <s v="Kp. Ciakar RT. 04 RW. 01 Desa Ciakar Kec. Panongan, Kab. Tangerang"/>
    <s v="JABODETABEK (OUTER)"/>
    <x v="2"/>
    <s v="BANTEN"/>
    <s v="32"/>
    <s v="BAPS"/>
    <s v="BAPS"/>
    <s v="RFI"/>
    <m/>
    <m/>
    <s v="LUCKI DWI PRISTANTO"/>
    <s v="FANDI KURNIAWAN SAPUTRA"/>
    <s v="A. RACHMAN"/>
    <s v="LUCKI DWI PRISTANTO"/>
    <s v="FAZAR GANNY"/>
    <s v="M ARIF HELMI"/>
    <s v="YUSTIA HARKAT"/>
    <x v="9"/>
    <s v="PT. MANDIRA INFRA TRIPAKARTI"/>
    <d v="2020-03-25T19:05:04"/>
    <d v="2020-04-10T16:28:55"/>
    <d v="2020-04-30T00:00:00"/>
    <m/>
    <d v="2021-03-02T00:00:00"/>
    <d v="2020-03-26T08:23:14"/>
    <d v="2020-03-26T14:28:36"/>
    <d v="2020-04-10T08:35:15"/>
    <m/>
    <d v="2020-04-10T08:46:00"/>
    <d v="2020-04-28T00:00:00"/>
    <m/>
    <s v="349"/>
    <d v="2020-04-30T00:00:00"/>
    <d v="2020-04-10T00:00:00"/>
    <d v="2020-06-22T00:00:00"/>
    <d v="2020-06-27T00:00:00"/>
    <d v="2020-06-25T15:42:47"/>
    <s v="895/TBE/TOWER/BAPS-SMARTFREN/IX/20"/>
    <m/>
    <d v="2020-05-22T13:21:00"/>
    <s v="PO/TB/20/N007329"/>
    <d v="2020-05-17T20:34:00"/>
    <m/>
    <m/>
    <m/>
    <m/>
    <m/>
    <d v="2020-07-29T12:16:26"/>
    <d v="2021-03-02T00:00:00"/>
    <d v="2026-03-01T00:00:00"/>
    <d v="2020-01-29T00:00:00"/>
    <d v="2020-04-10T00:00:00"/>
    <d v="2020-04-17T11:32:37"/>
    <d v="2020-04-14T00:00:00"/>
    <d v="2020-04-17T14:22:58"/>
    <m/>
    <m/>
    <s v="SST"/>
    <s v="32"/>
    <s v="GF"/>
    <s v="1"/>
    <d v="2020-05-29T00:00:00"/>
    <d v="2020-12-31T00:00:00"/>
    <d v="2020-06-28T00:00:00"/>
    <m/>
    <s v="RFL"/>
    <d v="2020-05-15T00:00:00"/>
    <s v="OPM-SSTA/VI/2020/0082"/>
    <s v="Oke"/>
    <d v="2020-06-28T10:28:28"/>
    <m/>
    <m/>
    <m/>
    <s v="566401478595"/>
    <d v="2020-04-28T00:00:00"/>
    <s v="PLN REGULER"/>
    <s v="Phase 7 - Smartfren"/>
    <s v="OUTDOOR"/>
    <d v="2020-04-30T12:16:26"/>
    <s v="Rural"/>
    <s v="RTC 1"/>
    <s v="Standard"/>
    <s v="PO/TB/20/N007654"/>
    <n v="80500000"/>
    <n v="17000000"/>
    <n v="63500000"/>
    <x v="2"/>
  </r>
  <r>
    <s v="0230579340231"/>
    <n v="230579340231"/>
    <x v="106"/>
    <s v="ZJKT2_4241"/>
    <s v="PASANGGRAHAN SOLEAR"/>
    <s v="Pasanggrahan Solear"/>
    <x v="0"/>
    <s v="-"/>
    <s v="STIP 1"/>
    <s v="SMART8"/>
    <s v="TB"/>
    <s v="019711/TBG-TB/SMART8/MKT/02/2020"/>
    <d v="2020-02-10T00:00:00"/>
    <s v="-6.29014"/>
    <s v="106.42245"/>
    <s v="Kp. Ciparanje Pulo RT.02 RW.02 Desa Pesangrahan, Kec.Solear, Kab.Tangerang"/>
    <s v="JABODETABEK (OUTER)"/>
    <x v="2"/>
    <s v="BANTEN"/>
    <s v="42"/>
    <s v="BAPS"/>
    <s v="BAPS"/>
    <s v="RFI"/>
    <m/>
    <m/>
    <s v="LUCKI DWI PRISTANTO"/>
    <s v="FAZAR GANNY"/>
    <m/>
    <s v="LUCKI DWI PRISTANTO"/>
    <s v="FAZAR GANNY"/>
    <s v="M ARIF HELMI"/>
    <s v="YUSTIA HARKAT"/>
    <x v="9"/>
    <s v="PT. MANDIRA INFRA TRIPAKARTI"/>
    <d v="2020-03-31T17:09:34"/>
    <d v="2020-03-31T20:50:55"/>
    <d v="2020-05-15T00:00:00"/>
    <m/>
    <d v="2020-12-13T00:00:00"/>
    <d v="2020-03-31T18:26:00"/>
    <d v="2020-03-31T18:40:34"/>
    <d v="2020-03-31T19:33:38"/>
    <m/>
    <d v="2020-03-31T19:59:02"/>
    <d v="2020-05-12T00:00:00"/>
    <m/>
    <s v="336"/>
    <d v="2020-05-10T00:00:00"/>
    <d v="2020-05-29T00:00:00"/>
    <d v="2020-07-20T00:00:00"/>
    <d v="2020-07-07T00:00:00"/>
    <d v="2020-07-06T16:42:59"/>
    <s v="972/TBE/TOWER/BAPS-SMARTFREN/IX/20"/>
    <m/>
    <d v="2020-06-04T14:02:00"/>
    <s v="PO/TB/20/N007334"/>
    <d v="2020-05-17T21:40:00"/>
    <m/>
    <m/>
    <m/>
    <m/>
    <m/>
    <d v="2020-08-13T21:00:53"/>
    <d v="2020-12-13T00:00:00"/>
    <d v="2025-12-12T00:00:00"/>
    <d v="2020-02-11T00:00:00"/>
    <d v="2020-04-09T00:00:00"/>
    <d v="2020-05-11T22:15:10"/>
    <d v="2020-04-24T00:00:00"/>
    <d v="2020-05-14T12:00:18"/>
    <m/>
    <m/>
    <s v="SST"/>
    <s v="42"/>
    <s v="GF"/>
    <s v="1"/>
    <d v="2020-06-30T00:00:00"/>
    <d v="2021-01-31T00:00:00"/>
    <d v="2020-10-10T00:00:00"/>
    <m/>
    <s v="RFL"/>
    <d v="2020-03-31T00:00:00"/>
    <s v="OPM-SSTA/VIII/2020/0016"/>
    <s v="Oke"/>
    <d v="2020-08-14T16:11:04"/>
    <m/>
    <m/>
    <m/>
    <s v="566401483639"/>
    <d v="2020-05-12T00:00:00"/>
    <s v="PLN REGULER"/>
    <s v="Phase 7 - Smartfren"/>
    <s v="OUTDOOR"/>
    <d v="2020-05-15T21:00:53"/>
    <s v="Rural"/>
    <s v="RTC 1"/>
    <s v="Standard"/>
    <s v="PO/TB/20/N008109"/>
    <n v="81500000"/>
    <n v="11000000"/>
    <n v="70500000"/>
    <x v="4"/>
  </r>
  <r>
    <s v="0230579400231"/>
    <n v="230579400231"/>
    <x v="107"/>
    <s v="ZJKT2_6065"/>
    <s v="CISAIT KRAGILAN"/>
    <s v="Cisait Kragilan"/>
    <x v="0"/>
    <s v="-"/>
    <s v="STIP 1"/>
    <s v="SMART8"/>
    <s v="TB"/>
    <s v="019717/TBG-TB/SMART8/MKT/02/2020"/>
    <d v="2020-02-10T00:00:00"/>
    <s v="-6.15264"/>
    <s v="106.26250"/>
    <s v="Kp. Kerjani RT 03 RW 02 Desa Cisait Kecamatan Kragilan Kabupaten Serang - Banten."/>
    <s v="JABODETABEK (OUTER)"/>
    <x v="9"/>
    <s v="BANTEN"/>
    <s v="42"/>
    <s v="BAPS"/>
    <s v="BAPS"/>
    <s v="RFI"/>
    <m/>
    <m/>
    <s v="LUCKI DWI PRISTANTO"/>
    <s v="FAZAR GANNY"/>
    <m/>
    <s v="LUCKI DWI PRISTANTO"/>
    <s v="FAZAR GANNY"/>
    <s v="M ARIF HELMI"/>
    <s v="YUSTIA HARKAT"/>
    <x v="0"/>
    <s v="PT. Banjarpasir Nusa Pratama"/>
    <d v="2020-03-24T18:46:29"/>
    <d v="2020-03-25T11:09:20"/>
    <d v="2020-05-12T00:00:00"/>
    <m/>
    <d v="2021-02-04T00:00:00"/>
    <d v="2020-03-24T19:23:10"/>
    <d v="2020-03-24T19:56:37"/>
    <d v="2020-03-24T20:25:15"/>
    <m/>
    <d v="2020-03-24T22:07:03"/>
    <d v="2020-05-03T00:00:00"/>
    <m/>
    <s v="336"/>
    <d v="2020-05-10T00:00:00"/>
    <d v="2020-05-29T00:00:00"/>
    <d v="2020-06-09T00:00:00"/>
    <d v="2020-06-27T00:00:00"/>
    <d v="2020-06-25T15:41:18"/>
    <s v="963/TBE/TOWER/BAPS-SMARTFREN/IX/20"/>
    <m/>
    <d v="2020-04-08T09:15:00"/>
    <s v="PO/TB/20/N007333"/>
    <d v="2020-05-17T21:28:00"/>
    <m/>
    <m/>
    <m/>
    <m/>
    <m/>
    <d v="2020-08-10T11:57:27"/>
    <d v="2021-02-04T00:00:00"/>
    <d v="2026-02-03T00:00:00"/>
    <d v="2020-02-11T00:00:00"/>
    <d v="2020-04-14T00:00:00"/>
    <d v="2020-04-18T20:18:18"/>
    <d v="2020-04-19T00:00:00"/>
    <d v="2020-04-23T22:04:53"/>
    <d v="2020-06-12T00:00:00"/>
    <d v="2020-06-22T00:00:00"/>
    <s v="SST"/>
    <s v="42"/>
    <s v="GF"/>
    <s v="1"/>
    <d v="2020-06-30T00:00:00"/>
    <d v="2020-08-31T00:00:00"/>
    <d v="2020-10-10T00:00:00"/>
    <m/>
    <s v="RFL"/>
    <d v="2020-03-30T00:00:00"/>
    <s v="OPM-SSTA/VIII/2020/0012"/>
    <s v="Oke"/>
    <d v="2020-08-14T16:08:51"/>
    <m/>
    <m/>
    <m/>
    <s v="561400699397"/>
    <d v="2020-05-03T00:00:00"/>
    <s v="PLN REGULER"/>
    <s v="Phase 7 - Smartfren"/>
    <s v="OUTDOOR"/>
    <d v="2020-05-12T11:57:27"/>
    <s v="Sub Urban"/>
    <s v="RTC 1"/>
    <s v="Standard"/>
    <s v="PO/TB/20/N005054"/>
    <n v="80000000"/>
    <n v="9000000"/>
    <n v="71000000"/>
    <x v="16"/>
  </r>
  <r>
    <s v="0230579490231"/>
    <n v="230579490231"/>
    <x v="108"/>
    <s v="ZJKT2_6038"/>
    <s v="CILANGKAP TAPOS"/>
    <s v="Cilangkap Tapos"/>
    <x v="0"/>
    <s v="-"/>
    <s v="STIP 1"/>
    <s v="SMART8"/>
    <s v="TB"/>
    <s v="019726/TBG-TB/SMART8/MKT/02/2020"/>
    <d v="2020-02-10T00:00:00"/>
    <s v="-6.45459"/>
    <s v="106.8635"/>
    <s v="Jl.Raya Tapos Cimpaeun RT 005 RW 007 Kelurahan Cimpaeun Kecamatan Tapos Kota Depok Jawa Barat "/>
    <s v="JABODETABEK (INNER)"/>
    <x v="12"/>
    <s v="JAWA BARAT"/>
    <s v="32"/>
    <s v="RFI"/>
    <s v="CME"/>
    <s v="RFI"/>
    <m/>
    <m/>
    <s v="LUCKI DWI PRISTANTO"/>
    <s v="FANDI KURNIAWAN SAPUTRA"/>
    <m/>
    <s v="LUCKI DWI PRISTANTO"/>
    <s v="FAZAR GANNY"/>
    <s v="PUSPITO HADIYANTO"/>
    <s v="YUSTIA HARKAT"/>
    <x v="12"/>
    <s v="PT. Lintas Banyu Lestari"/>
    <d v="2020-05-30T13:31:49"/>
    <d v="2020-06-19T11:39:51"/>
    <d v="2020-07-10T00:00:00"/>
    <m/>
    <m/>
    <d v="2020-05-30T20:16:29"/>
    <d v="2020-06-02T12:58:24"/>
    <d v="2020-06-02T19:30:06"/>
    <m/>
    <d v="2020-06-15T10:19:12"/>
    <d v="2020-10-08T00:00:00"/>
    <m/>
    <s v="336"/>
    <d v="2020-07-10T00:00:00"/>
    <d v="2020-06-06T00:00:00"/>
    <d v="2020-12-21T00:00:00"/>
    <d v="2020-12-13T00:00:00"/>
    <d v="2020-12-08T19:00:00"/>
    <m/>
    <m/>
    <d v="2020-07-14T20:15:00"/>
    <s v="PO/TB/20/N014308"/>
    <d v="2020-10-04T18:06:00"/>
    <m/>
    <m/>
    <m/>
    <m/>
    <m/>
    <d v="2020-10-08T20:14:49"/>
    <m/>
    <m/>
    <d v="2020-02-11T00:00:00"/>
    <d v="2020-06-08T00:00:00"/>
    <d v="2020-06-26T11:02:55"/>
    <d v="2020-06-15T00:00:00"/>
    <d v="2020-06-30T16:07:26"/>
    <m/>
    <m/>
    <s v="MP             "/>
    <s v="32                  "/>
    <s v="GF                  "/>
    <s v="1"/>
    <d v="2020-06-30T00:00:00"/>
    <d v="2020-12-31T00:00:00"/>
    <d v="2020-11-20T00:00:00"/>
    <m/>
    <s v="RFL"/>
    <d v="2020-06-19T00:00:00"/>
    <s v="OPM-SSTA/XI/2020/0305"/>
    <s v="OK - SESUAI HASIL CEK AFO &amp; OME"/>
    <d v="2020-11-30T18:11:37"/>
    <m/>
    <m/>
    <m/>
    <s v="538722654471"/>
    <d v="2020-10-08T00:00:00"/>
    <s v="PLN REGULER"/>
    <s v="Phase 7 - Smartfren - Soft RFI"/>
    <s v="OUTDOOR"/>
    <d v="2020-07-10T00:00:00"/>
    <s v="Dense Urban"/>
    <s v="RTC 2 B"/>
    <s v="Standard"/>
    <s v="PO/TB/20/N010457"/>
    <n v="94500000"/>
    <n v="14500000"/>
    <n v="80000000"/>
    <x v="2"/>
  </r>
  <r>
    <s v="0230579550231"/>
    <n v="230579550231"/>
    <x v="109"/>
    <s v="ZBGR_4667"/>
    <s v="PASIR JAMBU SUKARAJA"/>
    <s v="Pasir Jambu Sukaraja"/>
    <x v="0"/>
    <s v="-"/>
    <s v="STIP 1"/>
    <s v="SMART8"/>
    <s v="TB"/>
    <s v="019732/TBG-TB/SMART8/MKT/02/2020"/>
    <d v="2020-02-10T00:00:00"/>
    <s v="-6.5277"/>
    <s v="106.81163"/>
    <s v="Kp. Kaum Pandak RT 003/009, Kel.Karadenan Kec. Cibinong, Kab. Bogor Prov. Jawa Barat"/>
    <s v="JABODETABEK (OUTER)"/>
    <x v="3"/>
    <s v="JAWA BARAT"/>
    <s v="42"/>
    <s v="RFI"/>
    <s v="CME"/>
    <s v="RFI"/>
    <m/>
    <m/>
    <s v="LUCKI DWI PRISTANTO"/>
    <s v="FAZAR GANNY"/>
    <m/>
    <s v="LUCKI DWI PRISTANTO"/>
    <s v="FAZAR GANNY"/>
    <s v="PUSPITO HADIYANTO"/>
    <s v="YUSTIA HARKAT"/>
    <x v="12"/>
    <s v="PT. Lintas Banyu Lestari"/>
    <d v="2020-07-17T17:26:53"/>
    <d v="2020-07-24T17:36:55"/>
    <d v="2020-08-25T00:00:00"/>
    <m/>
    <m/>
    <d v="2020-07-23T09:40:33"/>
    <d v="2020-07-23T14:18:01"/>
    <d v="2020-07-24T14:10:48"/>
    <m/>
    <d v="2020-07-24T17:06:10"/>
    <d v="2020-10-22T00:00:00"/>
    <m/>
    <s v="336"/>
    <d v="2020-08-20T00:00:00"/>
    <d v="2020-07-15T00:00:00"/>
    <d v="2020-12-21T00:00:00"/>
    <d v="2020-12-29T00:00:00"/>
    <d v="2020-12-22T11:36:27"/>
    <m/>
    <m/>
    <d v="2020-08-21T20:33:00"/>
    <s v="PO/TB/20/N013202"/>
    <d v="2020-09-15T17:50:00"/>
    <m/>
    <m/>
    <m/>
    <m/>
    <m/>
    <d v="2020-11-23T17:52:34"/>
    <m/>
    <m/>
    <d v="2020-02-11T00:00:00"/>
    <d v="2020-07-27T00:00:00"/>
    <d v="2020-08-22T16:12:44"/>
    <d v="2020-07-30T00:00:00"/>
    <d v="2020-08-24T14:46:05"/>
    <m/>
    <m/>
    <s v="SST            "/>
    <s v="42                  "/>
    <s v="GF                  "/>
    <s v="1"/>
    <d v="2020-07-15T00:00:00"/>
    <d v="2021-02-26T00:00:00"/>
    <d v="2020-12-12T00:00:00"/>
    <m/>
    <s v="RFL"/>
    <d v="2020-07-27T00:00:00"/>
    <s v="OPM-SSTA/XII/2020/0010"/>
    <s v="Oke"/>
    <d v="2020-12-18T09:31:29"/>
    <m/>
    <m/>
    <m/>
    <s v="538216334783"/>
    <d v="2020-10-22T00:00:00"/>
    <s v="PLN REGULER"/>
    <s v="Phase 7 - Smartfren - Soft RFI"/>
    <s v="OUTDOOR"/>
    <d v="2020-08-25T00:00:00"/>
    <s v="Sub Urban"/>
    <s v="RTC 1"/>
    <s v="Standard"/>
    <s v="PO/TB/20/N012114"/>
    <n v="95000000"/>
    <n v="25000000"/>
    <n v="70000000"/>
    <x v="2"/>
  </r>
  <r>
    <s v="0230579570231"/>
    <n v="230579570231"/>
    <x v="110"/>
    <s v="ZJKT2_5971"/>
    <s v="PEMATANG TIGARAKSA"/>
    <s v="Pematang Tigaraksa"/>
    <x v="0"/>
    <s v="-"/>
    <s v="STIP 1"/>
    <s v="SMART8"/>
    <s v="TB"/>
    <s v="019734/TBG-TB/SMART8/MKT/02/2020"/>
    <d v="2020-02-10T00:00:00"/>
    <s v="-6.24055"/>
    <s v="106.45415"/>
    <s v="Kp. Sikluk RT. 02 RW. 01 Kel. Pematang Kec. Tigaraksa Kab. Tangerang"/>
    <s v="JABODETABEK (OUTER)"/>
    <x v="2"/>
    <s v="BANTEN"/>
    <s v="42"/>
    <s v="BAPS"/>
    <s v="BAPS"/>
    <s v="RFI"/>
    <m/>
    <m/>
    <s v="LUCKI DWI PRISTANTO"/>
    <s v="FANDI KURNIAWAN SAPUTRA"/>
    <m/>
    <s v="LUCKI DWI PRISTANTO"/>
    <s v="FAZAR GANNY"/>
    <s v="M ARIF HELMI"/>
    <s v="YUSTIA HARKAT"/>
    <x v="9"/>
    <s v="PT. MANDIRA INFRA TRIPAKARTI"/>
    <d v="2020-03-28T18:22:42"/>
    <d v="2020-04-10T16:29:06"/>
    <d v="2020-05-17T00:00:00"/>
    <m/>
    <d v="2021-02-04T00:00:00"/>
    <d v="2020-03-29T17:42:45"/>
    <d v="2020-03-29T18:05:17"/>
    <d v="2020-03-29T19:01:17"/>
    <m/>
    <d v="2020-04-09T14:04:52"/>
    <d v="2020-05-15T00:00:00"/>
    <m/>
    <s v="336"/>
    <d v="2020-05-15T00:00:00"/>
    <d v="2020-04-10T00:00:00"/>
    <d v="2020-06-14T00:00:00"/>
    <d v="2020-06-27T00:00:00"/>
    <d v="2020-06-25T15:48:00"/>
    <s v="964/TBE/TOWER/BAPS-SMARTFREN/IX/20"/>
    <m/>
    <d v="2020-06-04T14:05:00"/>
    <s v="PO/TB/20/N007159"/>
    <d v="2020-05-14T11:09:00"/>
    <m/>
    <m/>
    <m/>
    <m/>
    <m/>
    <d v="2020-08-15T10:57:46"/>
    <d v="2021-02-04T00:00:00"/>
    <d v="2026-02-03T00:00:00"/>
    <d v="2020-02-11T00:00:00"/>
    <d v="2020-04-13T00:00:00"/>
    <d v="2020-05-11T14:39:51"/>
    <d v="2020-05-01T00:00:00"/>
    <d v="2020-05-14T13:54:23"/>
    <m/>
    <m/>
    <s v="SST"/>
    <s v="42"/>
    <s v="GF"/>
    <s v="1"/>
    <d v="2020-05-29T00:00:00"/>
    <d v="2020-10-30T00:00:00"/>
    <d v="2020-10-10T00:00:00"/>
    <m/>
    <s v="RFL"/>
    <d v="2020-05-15T00:00:00"/>
    <s v="OPM-SSTA/VIII/2020/0017"/>
    <s v="Oke"/>
    <d v="2020-08-14T16:11:50"/>
    <m/>
    <m/>
    <m/>
    <s v="566401483647"/>
    <d v="2020-05-15T00:00:00"/>
    <s v="PLN REGULER"/>
    <s v="Phase 7 - Smartfren"/>
    <s v="OUTDOOR"/>
    <d v="2020-05-17T10:57:46"/>
    <s v="Urban"/>
    <s v="RTC 1"/>
    <s v="Standard"/>
    <s v="PO/TB/20/N008110"/>
    <n v="86000000"/>
    <n v="6500000"/>
    <n v="79500000"/>
    <x v="2"/>
  </r>
  <r>
    <s v="0230579580231"/>
    <n v="230579580231"/>
    <x v="111"/>
    <s v="ZJKT2_5966"/>
    <s v="BOJONG NANGKA KELAPA DUA"/>
    <s v="Bojong Nangka Kelapa Dua"/>
    <x v="0"/>
    <s v="-"/>
    <s v="STIP 1"/>
    <s v="SMART8"/>
    <s v="TB"/>
    <s v="019735/TBG-TB/SMART8/MKT/02/2020"/>
    <d v="2020-02-10T00:00:00"/>
    <s v="-6.267192"/>
    <s v="106.59702"/>
    <s v="Kp.Carang Pulang RT.02 RW.01 Desa Bojong Nangka Kecamatan Kelapa Dua"/>
    <s v="JABODETABEK (OUTER)"/>
    <x v="2"/>
    <s v="BANTEN"/>
    <s v="42"/>
    <s v="RFI"/>
    <s v="CME"/>
    <s v="SRFI"/>
    <m/>
    <m/>
    <s v="LUCKI DWI PRISTANTO"/>
    <s v="FAZAR GANNY"/>
    <m/>
    <s v="LUCKI DWI PRISTANTO"/>
    <s v="FAZAR GANNY"/>
    <s v="M ARIF HELMI"/>
    <s v="YUSTIA HARKAT"/>
    <x v="9"/>
    <s v="PT. MANDIRA INFRA TRIPAKARTI"/>
    <d v="2020-07-14T23:07:20"/>
    <d v="2020-07-17T17:30:00"/>
    <d v="2020-08-22T00:00:00"/>
    <m/>
    <m/>
    <d v="2020-07-16T17:09:12"/>
    <d v="2020-07-16T21:40:40"/>
    <d v="2020-07-16T22:37:20"/>
    <m/>
    <d v="2020-07-17T16:24:40"/>
    <m/>
    <m/>
    <s v="336"/>
    <d v="2020-08-20T00:00:00"/>
    <d v="2020-07-15T00:00:00"/>
    <d v="2021-02-22T00:00:00"/>
    <m/>
    <m/>
    <m/>
    <m/>
    <d v="2020-08-21T20:30:00"/>
    <s v="PO/TB/20/N014059"/>
    <d v="2020-09-28T20:37:00"/>
    <m/>
    <m/>
    <m/>
    <m/>
    <m/>
    <d v="2020-11-20T16:16:14"/>
    <m/>
    <m/>
    <d v="2020-02-11T00:00:00"/>
    <d v="2020-07-22T00:00:00"/>
    <d v="2020-08-11T18:52:21"/>
    <d v="2020-07-24T00:00:00"/>
    <d v="2020-08-21T13:08:28"/>
    <m/>
    <m/>
    <s v="SST            "/>
    <s v="42                  "/>
    <s v="GF                  "/>
    <s v="1"/>
    <d v="2020-07-15T00:00:00"/>
    <d v="2021-01-31T00:00:00"/>
    <d v="2021-02-10T00:00:00"/>
    <m/>
    <s v="RFL"/>
    <d v="2020-07-17T00:00:00"/>
    <m/>
    <s v="-"/>
    <m/>
    <m/>
    <m/>
    <m/>
    <m/>
    <d v="1899-12-31T00:00:00"/>
    <m/>
    <s v="Phase 7 - Smartfren - Soft RFI"/>
    <s v="OUTDOOR"/>
    <d v="2020-08-22T00:00:00"/>
    <s v="Rural"/>
    <s v="RTC 1"/>
    <s v="Standard"/>
    <s v="PO/TB/20/N012113"/>
    <n v="92000000"/>
    <n v="10500000"/>
    <n v="81500000"/>
    <x v="2"/>
  </r>
  <r>
    <s v="0230579850231"/>
    <n v="230579850231"/>
    <x v="112"/>
    <s v="ZJKT_5207"/>
    <s v="TEGAL ALUR KALI DERES"/>
    <s v="Tegal Alur Kali Deres"/>
    <x v="1"/>
    <s v="-"/>
    <s v="STIP 1"/>
    <s v="SMART8"/>
    <s v="TB"/>
    <s v="019762/TBG-TB/SMART8/MKT/02/2020"/>
    <d v="2020-02-10T00:00:00"/>
    <s v="-6.11258"/>
    <s v="106.71125"/>
    <s v="Jl.Lingkungan III Rt.009/Rw.003 Kel.Tegal Alur Kec. Kalideres , Jakarta Barat"/>
    <s v="JABODETABEK (INNER)"/>
    <x v="6"/>
    <s v="DKI JAKARTA"/>
    <s v="20"/>
    <s v="BAPS"/>
    <s v="BAPS"/>
    <s v="RFI"/>
    <m/>
    <m/>
    <s v="LUCKI DWI PRISTANTO"/>
    <s v="FAZAR GANNY"/>
    <m/>
    <s v="LUCKI DWI PRISTANTO"/>
    <s v="FAZAR GANNY"/>
    <s v="PUSPITO HADIYANTO"/>
    <s v="YUSTIA HARKAT"/>
    <x v="1"/>
    <m/>
    <d v="2020-05-16T18:51:33"/>
    <d v="2020-05-16T22:32:51"/>
    <d v="2020-05-17T00:00:00"/>
    <m/>
    <d v="2020-12-14T00:00:00"/>
    <d v="2020-05-16T19:11:31"/>
    <d v="2020-05-16T19:16:57"/>
    <d v="2020-05-16T22:16:14"/>
    <m/>
    <d v="2020-05-16T22:17:06"/>
    <d v="2020-05-15T00:00:00"/>
    <m/>
    <s v="336"/>
    <d v="2020-05-17T00:00:00"/>
    <d v="2020-05-08T00:00:00"/>
    <d v="2020-07-20T00:00:00"/>
    <d v="2020-07-07T00:00:00"/>
    <d v="2020-07-07T11:11:35"/>
    <s v="973/TBE/TOWER/BAPS-SMARTFREN/IX/20"/>
    <m/>
    <d v="1899-12-31T00:00:00"/>
    <m/>
    <d v="1899-12-31T00:00:00"/>
    <m/>
    <m/>
    <m/>
    <m/>
    <m/>
    <d v="2020-08-15T22:16:50"/>
    <d v="2020-12-14T00:00:00"/>
    <d v="2025-12-13T00:00:00"/>
    <d v="2020-02-11T00:00:00"/>
    <d v="2020-05-05T00:00:00"/>
    <d v="2020-05-17T20:56:14"/>
    <d v="2020-05-11T00:00:00"/>
    <d v="2020-05-17T20:58:15"/>
    <m/>
    <m/>
    <s v="MP"/>
    <s v="20"/>
    <s v="GF"/>
    <s v="1"/>
    <d v="2020-05-29T00:00:00"/>
    <m/>
    <d v="2020-06-28T00:00:00"/>
    <m/>
    <s v="RFL"/>
    <d v="2020-05-20T00:00:00"/>
    <s v="OPM-SSTA/VI/2020/0140"/>
    <s v="OK - sesuai hasil cek OME &amp; AFO"/>
    <d v="2020-06-30T15:20:58"/>
    <m/>
    <m/>
    <m/>
    <s v="546303068283"/>
    <d v="2020-05-15T00:00:00"/>
    <s v="PLN REGULER"/>
    <s v="Phase 7 - Smartfren"/>
    <s v="OUTDOOR"/>
    <d v="2020-05-17T22:16:50"/>
    <s v="Sub Urban"/>
    <m/>
    <s v="Lumpsum &amp; Not Fasum"/>
    <m/>
    <m/>
    <m/>
    <m/>
    <x v="5"/>
  </r>
  <r>
    <s v="0230580660231"/>
    <n v="230580660231"/>
    <x v="113"/>
    <s v="ZJKT2_6101"/>
    <s v="SOLEAR BANTEN"/>
    <s v="Solear Banten"/>
    <x v="0"/>
    <s v="-"/>
    <s v="STIP 1"/>
    <s v="SMART8"/>
    <s v="TB"/>
    <s v="019843/TBG-TB/SMART8/MKT/02/2020"/>
    <d v="2020-02-11T00:00:00"/>
    <s v="-6.28557"/>
    <s v="106.43274"/>
    <s v="Kp. Bojong RT. 01 RW. 06 Kel. Pasanggrahan Kec. Solear, Kab. Tangerang"/>
    <s v="JABODETABEK (OUTER)"/>
    <x v="2"/>
    <s v="BANTEN"/>
    <s v="42"/>
    <s v="BAPS"/>
    <s v="BAPS"/>
    <s v="RFI"/>
    <m/>
    <m/>
    <s v="LUCKI DWI PRISTANTO"/>
    <s v="FAZAR GANNY"/>
    <m/>
    <s v="LUCKI DWI PRISTANTO"/>
    <s v="FAZAR GANNY"/>
    <s v="M ARIF HELMI"/>
    <s v="YUSTIA HARKAT"/>
    <x v="9"/>
    <s v="PT. MANDIRA INFRA TRIPAKARTI"/>
    <d v="2020-03-27T14:08:15"/>
    <d v="2020-04-16T09:57:39"/>
    <d v="2020-05-29T00:00:00"/>
    <m/>
    <d v="2021-04-10T00:00:00"/>
    <d v="2020-04-03T19:28:12"/>
    <d v="2020-04-03T20:05:13"/>
    <d v="2020-04-09T17:25:49"/>
    <m/>
    <d v="2020-04-10T16:19:02"/>
    <d v="2020-07-07T00:00:00"/>
    <m/>
    <s v="335"/>
    <d v="2020-05-15T00:00:00"/>
    <d v="2020-04-10T00:00:00"/>
    <d v="2020-08-20T00:00:00"/>
    <d v="2020-08-19T00:00:00"/>
    <d v="2020-08-18T14:21:52"/>
    <s v="955/TBE/TOWER/BAPS-SMARTFREN/IX/20"/>
    <m/>
    <d v="2020-06-04T14:07:00"/>
    <s v="PO/TB/20/N007337"/>
    <d v="2020-05-17T22:20:00"/>
    <m/>
    <m/>
    <m/>
    <m/>
    <m/>
    <d v="2020-08-27T09:23:56"/>
    <d v="2021-04-10T00:00:00"/>
    <d v="2026-04-09T00:00:00"/>
    <d v="2020-02-11T00:00:00"/>
    <d v="2020-05-12T00:00:00"/>
    <d v="2020-05-06T13:47:10"/>
    <d v="2020-04-20T00:00:00"/>
    <d v="2020-05-27T15:22:45"/>
    <m/>
    <m/>
    <s v="SST"/>
    <s v="42"/>
    <s v="GF"/>
    <s v="1"/>
    <d v="2020-07-31T00:00:00"/>
    <d v="2021-01-31T00:00:00"/>
    <d v="2020-10-10T00:00:00"/>
    <m/>
    <s v="RFL"/>
    <d v="2020-05-15T00:00:00"/>
    <s v="OPM-SSTA/VIII/2020/0018"/>
    <s v="Oke"/>
    <d v="2020-08-22T13:04:35"/>
    <m/>
    <m/>
    <m/>
    <s v="566401520714"/>
    <d v="2020-07-07T00:00:00"/>
    <s v="PLN REGULER"/>
    <s v="Phase 7 - Smartfren - Soft RFI"/>
    <s v="OUTDOOR"/>
    <d v="2020-05-29T00:00:00"/>
    <s v="Rural"/>
    <s v="RTC 1"/>
    <s v="Standard"/>
    <s v="PO/TB/20/N008111"/>
    <n v="79500000"/>
    <n v="5000000"/>
    <n v="74500000"/>
    <x v="4"/>
  </r>
  <r>
    <s v="0230580690231"/>
    <n v="230580690231"/>
    <x v="114"/>
    <s v="ZJKT2_6092"/>
    <s v="SUMUR BANDUNG JAYANTI"/>
    <s v="Sumur Bandung Jayanti"/>
    <x v="0"/>
    <s v="-"/>
    <s v="STIP 1"/>
    <s v="SMART8"/>
    <s v="TB"/>
    <s v="019846/TBG-TB/SMART8/MKT/02/2020"/>
    <d v="2020-02-11T00:00:00"/>
    <s v="-6.20863"/>
    <s v="106.40324"/>
    <s v="Kp. Sumur Bandung RT. 02 RW. 01 Kel. Sumur bandung Kec. Jayaanti, Kab. Tangerang"/>
    <s v="JABODETABEK (OUTER)"/>
    <x v="2"/>
    <s v="BANTEN"/>
    <s v="42"/>
    <s v="BAPS"/>
    <s v="BAPS"/>
    <s v="RFI"/>
    <m/>
    <m/>
    <s v="LUCKI DWI PRISTANTO"/>
    <s v="FANDI KURNIAWAN SAPUTRA"/>
    <m/>
    <s v="LUCKI DWI PRISTANTO"/>
    <s v="FAZAR GANNY"/>
    <s v="M ARIF HELMI"/>
    <s v="YUSTIA HARKAT"/>
    <x v="9"/>
    <s v="PT. MANDIRA INFRA TRIPAKARTI"/>
    <d v="2020-04-08T11:54:12"/>
    <d v="2020-04-23T22:09:24"/>
    <d v="2020-05-16T00:00:00"/>
    <m/>
    <d v="2021-05-01T00:00:00"/>
    <d v="2020-04-10T10:18:49"/>
    <d v="2020-04-10T10:26:26"/>
    <d v="2020-04-15T11:49:50"/>
    <m/>
    <d v="2020-04-17T17:11:04"/>
    <d v="2020-05-12T00:00:00"/>
    <m/>
    <s v="335"/>
    <d v="2020-05-15T00:00:00"/>
    <d v="2020-04-10T00:00:00"/>
    <d v="2020-07-20T00:00:00"/>
    <d v="2020-07-01T00:00:00"/>
    <d v="2020-06-30T11:46:13"/>
    <s v="950/TBE/TOWER/BAPS-SMARTFREN/IX/20"/>
    <m/>
    <d v="2020-06-04T14:10:00"/>
    <s v="PO/TB/20/N007202"/>
    <d v="2020-05-14T19:27:00"/>
    <m/>
    <m/>
    <m/>
    <m/>
    <m/>
    <d v="2020-08-14T21:05:51"/>
    <d v="2021-05-01T00:00:00"/>
    <d v="2026-04-30T00:00:00"/>
    <d v="2020-02-11T00:00:00"/>
    <d v="2020-04-15T00:00:00"/>
    <d v="2020-05-11T14:38:37"/>
    <d v="2020-04-27T00:00:00"/>
    <d v="2020-05-14T08:54:40"/>
    <d v="2020-07-22T00:00:00"/>
    <d v="2020-04-27T00:00:00"/>
    <s v="SST            "/>
    <s v="42                  "/>
    <s v="GF                  "/>
    <s v="1"/>
    <d v="2020-05-29T00:00:00"/>
    <d v="2020-10-30T00:00:00"/>
    <d v="2020-09-15T00:00:00"/>
    <m/>
    <s v="RFL"/>
    <d v="2020-05-15T00:00:00"/>
    <s v="OPM-SSTA/VIII/2020/0013"/>
    <s v="Oke"/>
    <d v="2020-08-14T16:09:18"/>
    <m/>
    <m/>
    <m/>
    <s v="566401483647"/>
    <d v="2020-05-12T00:00:00"/>
    <s v="PLN REGULER"/>
    <s v="Phase 7 - Smartfren"/>
    <s v="OUTDOOR"/>
    <d v="2020-05-16T21:05:51"/>
    <s v="Rural"/>
    <s v="RTC 1"/>
    <s v="Standard"/>
    <s v="PO/TB/20/N008112"/>
    <n v="90000000"/>
    <n v="7500000"/>
    <n v="82500000"/>
    <x v="2"/>
  </r>
  <r>
    <s v="0230580750231"/>
    <n v="230580750231"/>
    <x v="115"/>
    <s v="ZBGR_4671"/>
    <s v="SUKARESMI TAMANSARI"/>
    <s v="Sukaresmi Tamansari"/>
    <x v="0"/>
    <s v="-"/>
    <s v="STIP 1"/>
    <s v="SMART8"/>
    <s v="TB"/>
    <s v="019852/TBG-TB/SMART8/MKT/02/2020"/>
    <d v="2020-02-11T00:00:00"/>
    <s v="-6.62467"/>
    <s v="106.76047"/>
    <s v="Kp. Baru RT 05 RW 08 Desa Sukaresmi Kecamatan Tamansari Kabupaten Bogor"/>
    <s v="JABODETABEK (OUTER)"/>
    <x v="3"/>
    <s v="JAWA BARAT"/>
    <s v="42"/>
    <s v="RFI"/>
    <s v="CME"/>
    <s v="SRFI"/>
    <m/>
    <m/>
    <s v="LUCKI DWI PRISTANTO"/>
    <s v="FAZAR GANNY"/>
    <m/>
    <s v="LUCKI DWI PRISTANTO"/>
    <s v="FAZAR GANNY"/>
    <s v="PUSPITO HADIYANTO"/>
    <s v="YUSTIA HARKAT"/>
    <x v="0"/>
    <s v="PT. Banjarpasir Nusa Pratama"/>
    <d v="2020-06-06T10:43:07"/>
    <d v="2020-06-10T22:34:32"/>
    <d v="2020-07-09T00:00:00"/>
    <m/>
    <m/>
    <d v="2020-06-09T16:04:10"/>
    <d v="2020-06-09T18:33:28"/>
    <d v="2020-06-09T19:04:34"/>
    <m/>
    <d v="2020-06-10T18:19:24"/>
    <m/>
    <m/>
    <s v="335"/>
    <d v="2020-07-10T00:00:00"/>
    <d v="2020-06-06T00:00:00"/>
    <d v="2021-02-22T00:00:00"/>
    <m/>
    <m/>
    <m/>
    <m/>
    <d v="2020-06-22T15:18:00"/>
    <s v="PO/TB/20/N010743"/>
    <d v="2020-07-20T17:26:00"/>
    <m/>
    <m/>
    <m/>
    <m/>
    <m/>
    <d v="2020-10-07T17:54:09"/>
    <m/>
    <m/>
    <d v="2020-02-11T00:00:00"/>
    <d v="2020-06-10T00:00:00"/>
    <d v="2020-06-12T23:17:47"/>
    <d v="2020-06-25T00:00:00"/>
    <d v="2020-06-25T21:04:35"/>
    <m/>
    <m/>
    <s v="SST"/>
    <s v="42"/>
    <s v="GF"/>
    <s v="1"/>
    <d v="2020-06-30T00:00:00"/>
    <d v="2020-10-30T00:00:00"/>
    <d v="2021-01-20T00:00:00"/>
    <m/>
    <s v="RFL"/>
    <d v="2020-06-12T00:00:00"/>
    <m/>
    <s v="-"/>
    <m/>
    <m/>
    <m/>
    <m/>
    <m/>
    <d v="1899-12-31T00:00:00"/>
    <m/>
    <s v="Phase 7 - Smartfren - Soft RFI"/>
    <s v="OUTDOOR"/>
    <d v="2020-07-09T00:00:00"/>
    <s v="Sub Urban"/>
    <s v="RTC 1"/>
    <s v="Standard"/>
    <s v="PO/TB/20/N009089"/>
    <n v="76000000"/>
    <n v="8500000"/>
    <n v="67500000"/>
    <x v="14"/>
  </r>
  <r>
    <s v="0230580760231"/>
    <n v="230580760231"/>
    <x v="116"/>
    <s v="ZBGR_4670"/>
    <s v="CIMANGGU 2 CIBUNGBULANG"/>
    <s v="Cimanggu 2 Cibungbulang"/>
    <x v="0"/>
    <s v="-"/>
    <s v="STIP 1"/>
    <s v="SMART8"/>
    <s v="TB"/>
    <s v="019853/TBG-TB/SMART8/MKT/02/2020"/>
    <d v="2020-02-11T00:00:00"/>
    <s v="-6.56514"/>
    <s v="106.66093"/>
    <s v="Kp. Cisaeur RT 06 RW 04 Desa Cimanggu 2 Kecamatan Cibungbulang Kabupaten Bogor"/>
    <s v="JABODETABEK (OUTER)"/>
    <x v="3"/>
    <s v="JAWA BARAT"/>
    <s v="42"/>
    <s v="BAPS"/>
    <s v="BAPS"/>
    <s v="RFI"/>
    <m/>
    <m/>
    <s v="LUCKI DWI PRISTANTO"/>
    <s v="FAZAR GANNY"/>
    <m/>
    <s v="LUCKI DWI PRISTANTO"/>
    <s v="FAZAR GANNY"/>
    <s v="PUSPITO HADIYANTO"/>
    <s v="YUSTIA HARKAT"/>
    <x v="0"/>
    <s v="PT. Banjarpasir Nusa Pratama"/>
    <d v="2020-06-02T14:13:11"/>
    <d v="2020-06-03T21:38:30"/>
    <d v="2020-06-29T00:00:00"/>
    <m/>
    <d v="2021-02-12T00:00:00"/>
    <d v="2020-06-02T14:36:10"/>
    <d v="2020-06-02T16:15:15"/>
    <d v="2020-06-02T16:41:21"/>
    <m/>
    <d v="2020-06-02T16:53:19"/>
    <d v="2020-07-11T00:00:00"/>
    <m/>
    <s v="335"/>
    <d v="2020-06-29T00:00:00"/>
    <d v="2020-06-06T00:00:00"/>
    <d v="2020-08-24T00:00:00"/>
    <d v="2020-08-19T00:00:00"/>
    <d v="2020-08-18T12:57:40"/>
    <s v="1142/TBE/TOWER/BAPS-SMARTFREN/XII/20"/>
    <m/>
    <d v="2020-06-09T14:18:00"/>
    <s v="PO/TB/20/N010746"/>
    <d v="2020-07-20T19:57:00"/>
    <m/>
    <m/>
    <m/>
    <m/>
    <m/>
    <d v="2020-09-27T15:27:01"/>
    <d v="2021-02-12T00:00:00"/>
    <d v="2026-02-11T00:00:00"/>
    <d v="2020-02-11T00:00:00"/>
    <d v="2020-06-07T00:00:00"/>
    <d v="2020-06-10T21:57:42"/>
    <d v="2020-06-15T00:00:00"/>
    <d v="2020-06-17T21:13:38"/>
    <d v="2020-07-30T00:00:00"/>
    <d v="2020-06-15T00:00:00"/>
    <s v="SST            "/>
    <s v="42                  "/>
    <s v="GF                  "/>
    <s v="1"/>
    <d v="2020-06-30T00:00:00"/>
    <d v="2021-02-26T00:00:00"/>
    <d v="2020-09-15T00:00:00"/>
    <m/>
    <s v="RFL"/>
    <d v="2020-06-03T00:00:00"/>
    <s v="OPM-SSTA/VII/2020/0150"/>
    <s v="Oke"/>
    <d v="2020-07-23T10:01:02"/>
    <m/>
    <m/>
    <m/>
    <s v="538515831555"/>
    <d v="2020-07-11T00:00:00"/>
    <s v="PLN REGULER"/>
    <s v="Phase 7 - Smartfren - Soft RFI"/>
    <s v="OUTDOOR"/>
    <d v="2020-06-29T00:00:00"/>
    <s v="Sub Urban"/>
    <s v="RTC 1"/>
    <s v="Standard"/>
    <s v="PO/TB/20/N008308"/>
    <n v="74000000"/>
    <n v="6000000"/>
    <n v="68000000"/>
    <x v="5"/>
  </r>
  <r>
    <s v="0230581800231"/>
    <n v="230581800231"/>
    <x v="117"/>
    <s v="ZJKT2_4373"/>
    <s v="MUSTIKAJAYA BEKASI"/>
    <s v="MUSTIKAJAYA BEKASI"/>
    <x v="0"/>
    <s v="-"/>
    <s v="STIP 1"/>
    <s v="SMART8"/>
    <s v="TB"/>
    <s v="020059/TBG-TB/SMART8/MKT/02/2020"/>
    <d v="2020-02-17T00:00:00"/>
    <s v="-6.3042"/>
    <s v="107.02915"/>
    <s v="Jl. Raya Mustikajaya Kp. Ciketing RT.03 RW.07 Kelurahan MustikaJaya, Kecamatan Mustikajaya, Kota Bekasi"/>
    <s v="JABODETABEK (OUTER)"/>
    <x v="13"/>
    <s v="JAWA BARAT"/>
    <s v="32"/>
    <s v="RFI"/>
    <s v="CME"/>
    <s v="RFI"/>
    <m/>
    <m/>
    <s v="LUCKI DWI PRISTANTO"/>
    <s v="FANDI KURNIAWAN SAPUTRA"/>
    <m/>
    <s v="LUCKI DWI PRISTANTO"/>
    <s v="FAZAR GANNY"/>
    <s v="PUSPITO HADIYANTO"/>
    <s v="YUSTIA HARKAT"/>
    <x v="4"/>
    <s v="PT. DWI SAMUDERA RAYA"/>
    <d v="2020-06-15T12:22:46"/>
    <d v="2020-06-29T18:28:09"/>
    <d v="2020-07-29T00:00:00"/>
    <m/>
    <m/>
    <d v="2020-06-19T16:13:00"/>
    <d v="2020-06-22T22:23:11"/>
    <d v="2020-06-26T10:02:40"/>
    <m/>
    <d v="2020-06-28T15:15:03"/>
    <d v="2020-10-23T00:00:00"/>
    <m/>
    <s v="329"/>
    <d v="2020-07-10T00:00:00"/>
    <d v="2020-06-06T00:00:00"/>
    <d v="2020-12-18T00:00:00"/>
    <d v="2020-12-13T00:00:00"/>
    <d v="2020-12-08T17:07:51"/>
    <m/>
    <m/>
    <d v="2020-07-03T16:09:00"/>
    <s v="PO/TB/20/N011902"/>
    <d v="2020-08-14T10:15:00"/>
    <m/>
    <m/>
    <m/>
    <m/>
    <m/>
    <d v="2020-10-27T16:27:38"/>
    <m/>
    <m/>
    <d v="2020-02-17T00:00:00"/>
    <d v="2020-07-09T00:00:00"/>
    <d v="2020-07-21T21:22:50"/>
    <d v="2020-07-07T00:00:00"/>
    <d v="2020-07-29T11:32:10"/>
    <d v="2020-12-18T00:00:00"/>
    <d v="2020-08-06T00:00:00"/>
    <s v="SST            "/>
    <s v="32                  "/>
    <s v="GF                  "/>
    <s v="1"/>
    <d v="2020-06-30T00:00:00"/>
    <d v="2020-10-30T00:00:00"/>
    <d v="2021-01-15T00:00:00"/>
    <m/>
    <s v="RFL"/>
    <d v="2020-06-29T00:00:00"/>
    <s v="OPM-SSTA/XII/2020/0015"/>
    <s v="Oke"/>
    <d v="2021-01-08T11:20:52"/>
    <m/>
    <m/>
    <m/>
    <s v="537421846976"/>
    <d v="2020-10-23T00:00:00"/>
    <s v="PLN REGULER"/>
    <s v="Phase 7 - Smartfren - Soft RFI"/>
    <s v="OUTDOOR"/>
    <d v="2020-07-29T00:00:00"/>
    <s v="Urban"/>
    <s v="RTC 1"/>
    <s v="Standard"/>
    <s v="PO/TB/20/N009833"/>
    <n v="95600000"/>
    <n v="26600000"/>
    <n v="69000000"/>
    <x v="2"/>
  </r>
  <r>
    <s v="0230587640231"/>
    <n v="230587640231"/>
    <x v="118"/>
    <s v="ZJKT2_5942"/>
    <s v="TEGAL ALUR"/>
    <s v="Tegal Alur"/>
    <x v="1"/>
    <s v="-"/>
    <s v="STIP 1"/>
    <s v="SMART8"/>
    <s v="TB"/>
    <s v="021243/TBG-TB/SMART8/MKT/03/2020"/>
    <d v="2020-03-18T00:00:00"/>
    <s v="-6.12029"/>
    <s v="106.71541"/>
    <s v="Jl.Menceng Raya RT .04, RW 011 Kel.Tegal Alur Kec. Kalideres , Jakarta Barat."/>
    <s v="JABODETABEK (INNER)"/>
    <x v="6"/>
    <s v="DKI JAKARTA"/>
    <s v="20"/>
    <s v="RFI"/>
    <s v="CME"/>
    <s v="RFI"/>
    <m/>
    <m/>
    <s v="LUCKI DWI PRISTANTO"/>
    <s v="FAZAR GANNY"/>
    <m/>
    <s v="LUCKI DWI PRISTANTO"/>
    <s v="FAZAR GANNY"/>
    <s v="PUSPITO HADIYANTO"/>
    <s v="YUSTIA HARKAT"/>
    <x v="1"/>
    <m/>
    <d v="2020-05-10T22:03:36"/>
    <d v="2020-05-10T22:13:40"/>
    <d v="2020-05-30T00:00:00"/>
    <m/>
    <m/>
    <m/>
    <d v="2020-05-10T22:07:10"/>
    <m/>
    <m/>
    <d v="2020-05-10T22:07:54"/>
    <d v="2020-06-26T00:00:00"/>
    <m/>
    <s v="299"/>
    <d v="2020-08-25T00:00:00"/>
    <d v="2020-07-20T00:00:00"/>
    <d v="2020-07-20T00:00:00"/>
    <d v="2020-07-29T00:00:00"/>
    <d v="2020-07-27T18:58:43"/>
    <m/>
    <m/>
    <d v="1899-12-31T00:00:00"/>
    <m/>
    <d v="1899-12-31T00:00:00"/>
    <m/>
    <m/>
    <m/>
    <m/>
    <m/>
    <d v="2020-08-28T14:38:49"/>
    <m/>
    <m/>
    <d v="2020-03-20T00:00:00"/>
    <d v="2020-05-06T00:00:00"/>
    <d v="2020-05-30T13:47:26"/>
    <d v="2020-05-11T00:00:00"/>
    <d v="2020-05-30T13:47:51"/>
    <m/>
    <m/>
    <s v="MP"/>
    <s v="20"/>
    <s v="GF"/>
    <s v="1"/>
    <d v="2020-07-30T00:00:00"/>
    <m/>
    <d v="2020-07-20T00:00:00"/>
    <m/>
    <s v="RFL"/>
    <d v="2020-05-15T00:00:00"/>
    <s v="OPM-SSTA/VII/2020/0147"/>
    <m/>
    <d v="2020-07-29T09:16:38"/>
    <m/>
    <m/>
    <m/>
    <s v="546303081315"/>
    <d v="2020-06-26T00:00:00"/>
    <s v="PLN REGULER"/>
    <s v="Phase 7 - Smartfren - Soft RFI"/>
    <s v="OUTDOOR"/>
    <d v="2020-05-30T00:00:00"/>
    <s v="Sub Urban"/>
    <m/>
    <s v="Lumpsum &amp; Fasum"/>
    <m/>
    <m/>
    <m/>
    <m/>
    <x v="7"/>
  </r>
  <r>
    <s v="04054932041"/>
    <n v="4054932041"/>
    <x v="119"/>
    <s v="02RKB025"/>
    <s v="KP_PABUARAN"/>
    <s v="Kp_Pabuaran"/>
    <x v="0"/>
    <s v="-"/>
    <s v="STIP 1"/>
    <s v="ISAT"/>
    <s v="TB"/>
    <s v="014261/TBG-TB/ISAT/MKT/09/2019"/>
    <d v="2019-09-16T00:00:00"/>
    <s v="-6.53303"/>
    <s v="106.78091"/>
    <s v="Kp. Rawataman Rt.001 Rw. 003 Kel. Mekarwangi Kec.Tanah Sareal Kota Bogor"/>
    <s v="JABODETABEK (OUTER)"/>
    <x v="14"/>
    <s v="JAWA BARAT"/>
    <s v="36"/>
    <s v="RFI"/>
    <s v="CME"/>
    <s v="RFI"/>
    <m/>
    <m/>
    <s v="LUCKI DWI PRISTANTO"/>
    <s v="INDAH PURNAMASARI"/>
    <s v="A. RACHMAN"/>
    <s v="LUCKI DWI PRISTANTO"/>
    <s v="FAZAR GANNY"/>
    <s v="PUSPITO HADIYANTO"/>
    <s v="NATASA ATIDHIRA  SEBAYANG"/>
    <x v="8"/>
    <s v="PT. DATATEL INDONESIA"/>
    <d v="2019-12-06T15:42:08"/>
    <d v="2019-12-11T12:59:37"/>
    <d v="2020-02-19T00:00:00"/>
    <m/>
    <m/>
    <d v="2019-12-06T15:52:59"/>
    <d v="2019-12-06T16:27:11"/>
    <d v="2019-12-10T17:10:12"/>
    <m/>
    <d v="2019-12-06T16:59:34"/>
    <d v="2020-08-20T00:00:00"/>
    <m/>
    <s v="483"/>
    <d v="2020-02-14T00:00:00"/>
    <d v="2019-12-21T00:00:00"/>
    <d v="2020-10-20T00:00:00"/>
    <d v="2020-10-30T00:00:00"/>
    <d v="2020-10-28T19:03:33"/>
    <m/>
    <m/>
    <d v="2019-12-23T09:01:00"/>
    <s v="PO/TB/20/N005390"/>
    <d v="2020-04-14T13:41:00"/>
    <m/>
    <m/>
    <m/>
    <m/>
    <m/>
    <d v="2020-05-19T18:15:20"/>
    <m/>
    <m/>
    <d v="2019-12-06T00:00:00"/>
    <d v="2020-01-11T00:00:00"/>
    <d v="2020-02-10T11:48:07"/>
    <d v="2020-01-10T00:00:00"/>
    <d v="2020-02-10T14:48:56"/>
    <d v="2020-11-04T00:00:00"/>
    <d v="2020-03-23T00:00:00"/>
    <s v="SST"/>
    <s v="36"/>
    <s v="GF"/>
    <s v="1"/>
    <d v="2019-12-21T00:00:00"/>
    <d v="2021-03-31T00:00:00"/>
    <d v="2020-10-10T00:00:00"/>
    <m/>
    <s v="RFL"/>
    <d v="2019-12-31T00:00:00"/>
    <s v="OPM-SSTA/IX/2020/0093"/>
    <s v="Oke"/>
    <d v="2020-09-25T10:12:47"/>
    <m/>
    <m/>
    <m/>
    <s v="538414573118"/>
    <d v="2020-08-20T00:00:00"/>
    <s v="PLN REGULER"/>
    <s v="AOP 2019 - Indosat - Soft RFI"/>
    <s v="OUTDOOR"/>
    <d v="2020-02-19T00:00:00"/>
    <s v="Rural"/>
    <s v="RTC 1"/>
    <s v="Standard"/>
    <s v="PO/TB/19/N013409"/>
    <n v="90000000"/>
    <n v="14000000"/>
    <n v="76000000"/>
    <x v="10"/>
  </r>
  <r>
    <s v="04054934041"/>
    <n v="4054934041"/>
    <x v="120"/>
    <s v="03BKS499"/>
    <s v="JLJAWASATU"/>
    <s v="JLJAWASATU"/>
    <x v="0"/>
    <s v="-"/>
    <s v="STIP 1"/>
    <s v="ISAT"/>
    <s v="TB"/>
    <s v="014263/TBG-TB/ISAT/MKT/09/2019"/>
    <d v="2019-09-16T00:00:00"/>
    <s v="-6.24595"/>
    <s v="107.03360"/>
    <s v="Kp. Rawa Aren Rt.07/12, Kel. Aren Jaya, Kec. Bekasi Timur, Kota Bekasi Prov Jawa Barat"/>
    <s v="JABODETABEK (OUTER)"/>
    <x v="13"/>
    <s v="JAWA BARAT"/>
    <s v="42"/>
    <s v="BAPS"/>
    <s v="BAPS"/>
    <s v="RFI"/>
    <m/>
    <m/>
    <s v="LUCKI DWI PRISTANTO"/>
    <s v="FAZAR GANNY"/>
    <s v="A. RACHMAN"/>
    <s v="LUCKI DWI PRISTANTO"/>
    <s v="FAZAR GANNY"/>
    <s v="PUSPITO HADIYANTO"/>
    <s v="NATASA ATIDHIRA  SEBAYANG"/>
    <x v="4"/>
    <s v="PT. DWI SAMUDERA RAYA"/>
    <d v="2020-03-02T09:08:53"/>
    <d v="2020-03-12T16:23:39"/>
    <d v="2020-04-21T00:00:00"/>
    <m/>
    <d v="2020-09-13T00:00:00"/>
    <d v="2020-03-04T11:44:58"/>
    <d v="2020-03-04T12:38:18"/>
    <d v="2020-03-11T13:55:46"/>
    <m/>
    <d v="2020-03-12T14:11:51"/>
    <d v="2020-07-22T00:00:00"/>
    <m/>
    <s v="483"/>
    <d v="2020-04-20T00:00:00"/>
    <d v="2020-03-20T00:00:00"/>
    <d v="2020-08-29T00:00:00"/>
    <d v="2020-08-29T00:00:00"/>
    <d v="2020-08-27T11:37:36"/>
    <s v="400346/ICK-ICKL/PRJ/BAPS/2020"/>
    <m/>
    <d v="2020-04-03T16:33:00"/>
    <s v="PO/TB/20/N005375"/>
    <d v="2020-04-14T11:35:00"/>
    <m/>
    <m/>
    <s v="4800384997"/>
    <d v="2020-09-18T00:00:00"/>
    <d v="2020-09-24T13:46:57"/>
    <d v="2020-07-20T16:13:08"/>
    <d v="2020-09-13T00:00:00"/>
    <d v="2030-09-12T00:00:00"/>
    <d v="2019-09-17T00:00:00"/>
    <d v="2020-03-15T00:00:00"/>
    <d v="2020-03-29T21:02:06"/>
    <d v="2020-03-25T00:00:00"/>
    <d v="2020-04-17T14:07:05"/>
    <d v="2020-09-28T00:00:00"/>
    <d v="1899-12-31T00:00:00"/>
    <s v="SST"/>
    <s v="42"/>
    <s v="GF"/>
    <s v="1"/>
    <d v="2020-03-31T00:00:00"/>
    <d v="2020-08-31T00:00:00"/>
    <d v="2020-09-15T00:00:00"/>
    <m/>
    <s v="RFL"/>
    <d v="2020-03-24T00:00:00"/>
    <s v="OPM-SSTA/VII/2020/0216"/>
    <s v="Oke"/>
    <d v="2020-08-14T16:06:49"/>
    <m/>
    <m/>
    <m/>
    <s v="537116655237"/>
    <d v="2020-07-22T00:00:00"/>
    <s v="PLN REGULER"/>
    <s v="AOP 2019 - Indosat - Soft RFI"/>
    <s v="-"/>
    <d v="2020-04-21T00:00:00"/>
    <s v="Sub Urban"/>
    <s v="RTC 1"/>
    <s v="Standard"/>
    <s v="PO/TB/20/N004868"/>
    <n v="130000000"/>
    <n v="44200000"/>
    <n v="85800000"/>
    <x v="2"/>
  </r>
  <r>
    <s v="23054744231"/>
    <n v="23054744231"/>
    <x v="121"/>
    <s v="JAK0292"/>
    <s v="TAMBUN SELATAN BEKASI"/>
    <s v="TAMBUN SELATAN BEKASI"/>
    <x v="1"/>
    <s v="-"/>
    <s v="STIP 1"/>
    <s v="SMART8"/>
    <s v="TB"/>
    <s v="013871/TBG-TB/SMART8/MKT/09/2019"/>
    <d v="2019-09-02T00:00:00"/>
    <s v="-6.23238"/>
    <s v="107.07726"/>
    <s v="Kp Buwek Raya  RT. 04 RW. 28 Kel. Sumber Jaya Kec. Tambun Selatan, Kab. Bekasi"/>
    <s v="JABODETABEK (OUTER)"/>
    <x v="15"/>
    <s v="JAWA BARAT"/>
    <s v="20"/>
    <s v="BAPS"/>
    <s v="BAPS"/>
    <s v="RFI"/>
    <m/>
    <m/>
    <s v="LUCKI DWI PRISTANTO"/>
    <s v="FAZAR GANNY"/>
    <s v="A. RACHMAN"/>
    <s v="LUCKI DWI PRISTANTO"/>
    <s v="FAZAR GANNY"/>
    <s v="M ARIF HELMI"/>
    <s v="YUSTIA HARKAT"/>
    <x v="13"/>
    <s v="PT. PANEN KARYA BERSAMA"/>
    <d v="2020-01-24T14:50:24"/>
    <d v="2020-01-31T19:25:59"/>
    <d v="2020-02-26T00:00:00"/>
    <m/>
    <d v="2021-01-16T00:00:00"/>
    <d v="2020-01-29T18:38:05"/>
    <d v="2020-01-29T18:43:02"/>
    <d v="2020-01-30T19:35:46"/>
    <m/>
    <d v="2020-01-30T19:05:37"/>
    <d v="2020-02-26T00:00:00"/>
    <m/>
    <s v="497"/>
    <d v="2020-02-20T00:00:00"/>
    <d v="2020-01-19T00:00:00"/>
    <d v="2020-05-20T00:00:00"/>
    <d v="2020-05-26T00:00:00"/>
    <d v="2020-05-23T13:38:33"/>
    <s v="798/TBE/TOWER/BAPS-SMARTFREN/IX/20"/>
    <m/>
    <d v="1899-12-31T00:00:00"/>
    <s v="PO/TB/20/N005786"/>
    <d v="2020-04-21T09:13:00"/>
    <m/>
    <m/>
    <m/>
    <m/>
    <m/>
    <d v="2020-05-26T20:23:04"/>
    <d v="2021-01-16T00:00:00"/>
    <d v="2026-01-15T00:00:00"/>
    <d v="2019-09-02T00:00:00"/>
    <d v="2020-02-13T00:00:00"/>
    <d v="2020-02-26T19:28:47"/>
    <d v="2020-02-26T00:00:00"/>
    <d v="2020-02-26T19:31:08"/>
    <m/>
    <m/>
    <s v="MP"/>
    <s v="20"/>
    <s v="GF"/>
    <s v="1"/>
    <d v="2020-07-31T00:00:00"/>
    <d v="2020-09-30T00:00:00"/>
    <d v="2020-09-15T00:00:00"/>
    <m/>
    <s v="RFL"/>
    <d v="2020-07-22T00:00:00"/>
    <s v="OPM-SSTA/VII/2020/0173"/>
    <s v="Oke"/>
    <d v="2020-07-23T10:05:22"/>
    <m/>
    <m/>
    <m/>
    <s v="537010066952"/>
    <d v="2020-02-26T00:00:00"/>
    <s v="PLN REGULER"/>
    <s v="Phase 6B - Smartfren"/>
    <s v="OUTDOOR"/>
    <d v="2020-02-26T20:23:04"/>
    <s v="Sub Urban"/>
    <m/>
    <s v="Standard"/>
    <s v="PO/TB/20/N006606 &amp; PO/TB/20/N007179"/>
    <n v="78500000"/>
    <n v="8500000"/>
    <n v="70000000"/>
    <x v="14"/>
  </r>
  <r>
    <s v="23054745231"/>
    <n v="23054745231"/>
    <x v="122"/>
    <s v="JAK0266"/>
    <s v="CIKARANG BARAT BEKASI"/>
    <s v="CIKARANG BARAT BEKASI"/>
    <x v="1"/>
    <s v="-"/>
    <s v="STIP 1"/>
    <s v="SMART8"/>
    <s v="TB"/>
    <s v="013872/TBG-TB/SMART8/MKT/09/2019"/>
    <d v="2019-09-02T00:00:00"/>
    <s v="-6.28239"/>
    <s v="107.11292"/>
    <s v="Kp. Tangsi RT.003/006 Desa Sukadanau Kec. Cikarang Barat, Kab. Bekasi Prov Jawa Barat"/>
    <s v="JABODETABEK (OUTER)"/>
    <x v="15"/>
    <s v="JAWA BARAT"/>
    <s v="20"/>
    <s v="BAPS"/>
    <s v="BAPS"/>
    <s v="RFI"/>
    <m/>
    <m/>
    <s v="LUCKI DWI PRISTANTO"/>
    <s v="FAZAR GANNY"/>
    <s v="A. RACHMAN"/>
    <s v="LUCKI DWI PRISTANTO"/>
    <s v="FAZAR GANNY"/>
    <s v="PUSPITO HADIYANTO"/>
    <s v="YUSTIA HARKAT"/>
    <x v="13"/>
    <s v="PT. PANEN KARYA BERSAMA"/>
    <d v="2020-01-29T17:26:31"/>
    <d v="2020-02-19T18:49:29"/>
    <d v="2020-02-27T00:00:00"/>
    <m/>
    <d v="2021-01-16T00:00:00"/>
    <d v="2020-01-29T17:55:38"/>
    <d v="2020-01-29T18:07:43"/>
    <d v="2020-02-19T18:40:47"/>
    <m/>
    <d v="2020-01-30T19:12:08"/>
    <d v="2020-02-25T00:00:00"/>
    <m/>
    <s v="497"/>
    <d v="2020-02-27T00:00:00"/>
    <d v="2020-02-21T00:00:00"/>
    <d v="2020-05-20T00:00:00"/>
    <d v="2020-05-26T00:00:00"/>
    <d v="2020-05-21T21:45:28"/>
    <s v="797/TBE/TOWER/BAPS-SMARTFREN/IX/20"/>
    <m/>
    <d v="1899-12-31T00:00:00"/>
    <s v="PO/TB/20/N005785"/>
    <d v="2020-04-21T09:03:00"/>
    <m/>
    <m/>
    <m/>
    <m/>
    <m/>
    <d v="2020-05-27T11:40:34"/>
    <d v="2021-01-16T00:00:00"/>
    <d v="2026-01-15T00:00:00"/>
    <d v="2019-09-02T00:00:00"/>
    <d v="2020-02-13T00:00:00"/>
    <d v="2020-02-26T19:43:05"/>
    <d v="2020-02-14T00:00:00"/>
    <d v="2020-02-26T19:45:28"/>
    <m/>
    <m/>
    <s v="MP"/>
    <s v="20"/>
    <s v="GF"/>
    <s v="1"/>
    <d v="2020-06-30T00:00:00"/>
    <d v="2020-09-30T00:00:00"/>
    <d v="2020-09-15T00:00:00"/>
    <m/>
    <s v="RFL"/>
    <d v="2020-03-24T00:00:00"/>
    <s v="OPM-SSTA/VII/2020/0152"/>
    <s v="Oke"/>
    <d v="2020-07-23T10:02:06"/>
    <m/>
    <m/>
    <m/>
    <s v="537010066952"/>
    <d v="2020-02-25T00:00:00"/>
    <s v="PLN REGULER"/>
    <s v="Phase 6B - Smartfren"/>
    <s v="OUTDOOR"/>
    <d v="2020-02-27T11:40:34"/>
    <s v="Sub Urban"/>
    <m/>
    <s v="Standard"/>
    <s v="PO/TB/20/N006547 &amp; PO/TB/20/N007178"/>
    <n v="79500000"/>
    <n v="9500000"/>
    <n v="70000000"/>
    <x v="14"/>
  </r>
  <r>
    <s v="23054746231"/>
    <n v="23054746231"/>
    <x v="123"/>
    <s v="BOG0142"/>
    <s v="CIOMAS BOGOR"/>
    <s v="CIOMAS BOGOR"/>
    <x v="0"/>
    <s v="-"/>
    <s v="STIP 1"/>
    <s v="SMART8"/>
    <s v="TB"/>
    <s v="013873/TBG-TB/SMART8/MKT/09/2019"/>
    <d v="2019-09-02T00:00:00"/>
    <s v="-6.60400"/>
    <s v="106.76164"/>
    <s v="Kp. Sukamanah,RT.3 RW.3, Desa Pagelaran Kec. Ciomas, Kab. Bogor Prov. Jawa Barat"/>
    <s v="JABODETABEK (OUTER)"/>
    <x v="3"/>
    <s v="JAWA BARAT"/>
    <s v="42"/>
    <s v="BAPS"/>
    <s v="BAPS"/>
    <s v="RFI"/>
    <m/>
    <m/>
    <s v="LUCKI DWI PRISTANTO"/>
    <s v="INDAH PURNAMASARI"/>
    <s v="A. RACHMAN"/>
    <s v="LUCKI DWI PRISTANTO"/>
    <s v="FAZAR GANNY"/>
    <s v="PUSPITO HADIYANTO"/>
    <s v="YUSTIA HARKAT"/>
    <x v="2"/>
    <s v="PT ORLIE INDONESIA"/>
    <d v="2020-01-27T15:49:48"/>
    <d v="2020-01-31T19:23:36"/>
    <d v="2020-03-19T00:00:00"/>
    <m/>
    <d v="2021-02-21T00:00:00"/>
    <d v="2020-01-28T09:54:43"/>
    <d v="2020-01-29T18:48:14"/>
    <d v="2020-01-31T11:25:55"/>
    <m/>
    <d v="2020-01-30T17:52:51"/>
    <d v="2020-03-11T00:00:00"/>
    <m/>
    <s v="497"/>
    <d v="2020-03-20T00:00:00"/>
    <d v="2020-02-12T00:00:00"/>
    <d v="2020-05-20T00:00:00"/>
    <d v="2020-05-27T00:00:00"/>
    <d v="2020-05-23T13:43:17"/>
    <s v="786/TBE/TOWER/BAPS-SMARTFREN/IX/20"/>
    <m/>
    <d v="2020-02-14T15:08:00"/>
    <s v="PO/TB/20/N005684"/>
    <d v="2020-04-17T17:09:00"/>
    <m/>
    <m/>
    <m/>
    <m/>
    <m/>
    <d v="2020-06-17T14:00:47"/>
    <d v="2021-02-21T00:00:00"/>
    <d v="2026-02-20T00:00:00"/>
    <d v="2019-09-02T00:00:00"/>
    <d v="2020-03-19T00:00:00"/>
    <d v="2020-03-17T09:47:18"/>
    <d v="2020-03-16T00:00:00"/>
    <d v="2020-03-18T11:36:34"/>
    <d v="2020-09-14T00:00:00"/>
    <d v="2020-12-08T00:00:00"/>
    <s v="SST"/>
    <s v="42"/>
    <s v="GF"/>
    <s v="1"/>
    <d v="2020-03-20T00:00:00"/>
    <d v="2021-02-26T00:00:00"/>
    <d v="2020-05-20T00:00:00"/>
    <m/>
    <s v="RFL"/>
    <d v="2020-02-27T00:00:00"/>
    <s v="OPM-SSTA/IV/2020/0307"/>
    <s v="Oke"/>
    <d v="2020-05-12T14:49:31"/>
    <m/>
    <m/>
    <m/>
    <s v="538315625082"/>
    <d v="2020-03-11T00:00:00"/>
    <s v="PLN REGULER"/>
    <s v="Phase 6B - Smartfren"/>
    <s v="OUTDOOR"/>
    <d v="2020-03-19T14:00:47"/>
    <s v="Dense Urban"/>
    <s v="RTC 1"/>
    <s v="Standard"/>
    <s v="PO/TB/20/N001769"/>
    <n v="97000000"/>
    <n v="10000000"/>
    <n v="87000000"/>
    <x v="6"/>
  </r>
  <r>
    <s v="23054747231"/>
    <n v="23054747231"/>
    <x v="124"/>
    <s v="BOG0136"/>
    <s v="BOGOR BARAT"/>
    <s v="BOGOR BARAT"/>
    <x v="0"/>
    <s v="-"/>
    <s v="STIP 1"/>
    <s v="SMART8"/>
    <s v="TB"/>
    <s v="013874/TBG-TB/SMART8/MKT/09/2019"/>
    <d v="2019-09-02T00:00:00"/>
    <s v="-6.56031"/>
    <s v="106.74024"/>
    <s v="Kp. Babakan Lio RT. 05, RW.11, Kel. Balumbang Jaya Kec. Bogor Barat,_x000a_ Kota. Bogor_x000a_"/>
    <s v="JABODETABEK (OUTER)"/>
    <x v="14"/>
    <s v="JAWA BARAT"/>
    <s v="36"/>
    <s v="BAPS"/>
    <s v="BAPS"/>
    <s v="RFI"/>
    <m/>
    <m/>
    <s v="LUCKI DWI PRISTANTO"/>
    <s v="INDAH PURNAMASARI"/>
    <s v="A. RACHMAN"/>
    <s v="LUCKI DWI PRISTANTO"/>
    <s v="FAZAR GANNY"/>
    <s v="M ARIF HELMI"/>
    <s v="YUSTIA HARKAT"/>
    <x v="6"/>
    <s v="PT. TURANGGA EMPAT TIGA"/>
    <d v="2019-12-20T16:39:14"/>
    <d v="2019-12-31T10:07:05"/>
    <d v="2020-02-11T00:00:00"/>
    <m/>
    <d v="2020-11-21T00:00:00"/>
    <d v="2019-12-27T15:15:32"/>
    <d v="2019-12-30T14:48:59"/>
    <d v="2019-12-31T09:56:31"/>
    <m/>
    <d v="2019-12-30T15:59:20"/>
    <d v="2020-01-31T00:00:00"/>
    <m/>
    <s v="497"/>
    <d v="2020-02-14T00:00:00"/>
    <d v="2019-12-20T00:00:00"/>
    <d v="2020-03-13T00:00:00"/>
    <d v="2020-03-26T00:00:00"/>
    <d v="2020-03-24T12:35:57"/>
    <s v="794/TBE/TOWER/BAPS-SMARTFREN/IX/20"/>
    <m/>
    <d v="2020-01-17T16:24:00"/>
    <s v="PO/TB/20/N005784"/>
    <d v="2020-04-20T20:08:00"/>
    <m/>
    <m/>
    <m/>
    <m/>
    <m/>
    <d v="2020-05-11T21:21:04"/>
    <d v="2020-11-21T00:00:00"/>
    <d v="2025-11-20T00:00:00"/>
    <d v="2019-09-02T00:00:00"/>
    <d v="2020-01-06T00:00:00"/>
    <d v="2020-01-21T21:08:27"/>
    <d v="2020-01-04T00:00:00"/>
    <d v="2020-01-31T18:42:48"/>
    <d v="2020-11-09T00:00:00"/>
    <d v="2020-04-13T00:00:00"/>
    <s v="SST"/>
    <s v="36"/>
    <s v="GF"/>
    <s v="1"/>
    <d v="2019-12-20T00:00:00"/>
    <d v="2021-03-31T00:00:00"/>
    <d v="2020-05-20T00:00:00"/>
    <m/>
    <s v="RFL"/>
    <d v="2020-01-31T00:00:00"/>
    <s v="OPM-SSTA/IV/2020/0312"/>
    <s v="Oke"/>
    <d v="2020-05-12T14:50:13"/>
    <m/>
    <m/>
    <m/>
    <s v="538315614527"/>
    <d v="2020-01-31T00:00:00"/>
    <s v="PLN REGULER"/>
    <s v="Phase 6B - Smartfren"/>
    <s v="OUTDOOR"/>
    <d v="2020-02-11T21:21:04"/>
    <s v="Urban"/>
    <s v="RTC 1"/>
    <s v="Standard"/>
    <s v="PO/TB/20/N000458"/>
    <n v="94000000"/>
    <n v="22500000"/>
    <n v="71500000"/>
    <x v="2"/>
  </r>
  <r>
    <s v="23054781231"/>
    <n v="23054781231"/>
    <x v="125"/>
    <s v="BOG0140"/>
    <s v="BOJONG GEDE BOGOR"/>
    <s v="BOJONG GEDE BOGOR"/>
    <x v="0"/>
    <s v="-"/>
    <s v="STIP 1"/>
    <s v="SMART8"/>
    <s v="TB"/>
    <s v="013908/TBG-TB/SMART8/MKT/09/2019"/>
    <d v="2019-09-02T00:00:00"/>
    <s v="-6.49875"/>
    <s v="106.79070"/>
    <s v="Kp. Lio RT. 002 RW. 003, Desa Kedung Waringin Kec. Bojong Gede, Kab. Bogor Prov. Jawa Barat"/>
    <s v="JABODETABEK (OUTER)"/>
    <x v="3"/>
    <s v="JAWA BARAT"/>
    <s v="42"/>
    <s v="BAPS"/>
    <s v="BAPS"/>
    <s v="RFI"/>
    <m/>
    <m/>
    <s v="LUCKI DWI PRISTANTO"/>
    <s v="FAZAR GANNY"/>
    <s v="A. RACHMAN"/>
    <s v="LUCKI DWI PRISTANTO"/>
    <s v="FAZAR GANNY"/>
    <s v="PUSPITO HADIYANTO"/>
    <s v="YUSTIA HARKAT"/>
    <x v="2"/>
    <s v="PT ORLIE INDONESIA"/>
    <d v="2020-03-18T19:28:29"/>
    <d v="2020-03-30T15:02:07"/>
    <d v="2020-04-25T00:00:00"/>
    <m/>
    <d v="2021-07-08T00:00:00"/>
    <d v="2020-03-19T12:22:16"/>
    <d v="2020-03-19T14:26:18"/>
    <d v="2020-03-29T19:17:10"/>
    <m/>
    <d v="2020-03-30T10:49:59"/>
    <d v="2020-04-23T00:00:00"/>
    <m/>
    <s v="497"/>
    <d v="2020-04-27T00:00:00"/>
    <d v="2020-03-20T00:00:00"/>
    <d v="2020-06-19T00:00:00"/>
    <d v="2020-06-11T00:00:00"/>
    <d v="2020-06-09T15:07:18"/>
    <s v="770/TBE/TOWER/BAPS-SMARTFREN/IX/20"/>
    <m/>
    <d v="2020-04-09T16:49:00"/>
    <s v="PO/TB/20/N014068"/>
    <d v="2020-09-29T06:56:00"/>
    <m/>
    <m/>
    <m/>
    <m/>
    <m/>
    <d v="2020-07-24T21:08:46"/>
    <d v="2021-07-08T00:00:00"/>
    <d v="2026-07-07T00:00:00"/>
    <d v="2019-09-02T00:00:00"/>
    <d v="2020-03-23T00:00:00"/>
    <d v="2020-04-07T08:53:03"/>
    <d v="2020-04-02T00:00:00"/>
    <d v="2020-04-07T13:54:37"/>
    <d v="2020-11-09T00:00:00"/>
    <d v="1899-12-31T00:00:00"/>
    <s v="SST"/>
    <s v="42"/>
    <s v="GF"/>
    <s v="1"/>
    <d v="2020-03-20T00:00:00"/>
    <d v="2021-02-26T00:00:00"/>
    <d v="2020-09-15T00:00:00"/>
    <m/>
    <s v="RFL"/>
    <d v="2020-03-30T00:00:00"/>
    <s v="OPM-SSTA/VII/2020/0151"/>
    <s v="Oke"/>
    <d v="2020-07-23T10:01:35"/>
    <m/>
    <m/>
    <m/>
    <s v="538411111360"/>
    <d v="2020-04-23T00:00:00"/>
    <s v="PLN REGULER"/>
    <s v="Phase 6B - Smartfren"/>
    <s v="OUTDOOR"/>
    <d v="2020-04-25T21:08:46"/>
    <s v="Sub Urban"/>
    <s v="RTC 1"/>
    <s v="Standard"/>
    <s v="PO/TB/20/N005220"/>
    <n v="93800000"/>
    <n v="20800000"/>
    <n v="73000000"/>
    <x v="1"/>
  </r>
  <r>
    <s v="23054785231"/>
    <n v="23054785231"/>
    <x v="126"/>
    <s v="JAK0743"/>
    <s v="BEJI KOTA DEPOK"/>
    <s v="BEJI KOTA DEPOK"/>
    <x v="0"/>
    <s v="-"/>
    <s v="STIP 1"/>
    <s v="SMART8"/>
    <s v="TB"/>
    <s v="013912/TBG-TB/SMART8/MKT/09/2019"/>
    <d v="2019-09-02T00:00:00"/>
    <s v="-6.37451"/>
    <s v="106.81203"/>
    <s v="Jl Sawo 1 RT 005 RW 005 Kel. Beji Kec. Beji Kota Depok"/>
    <s v="JABODETABEK (INNER)"/>
    <x v="12"/>
    <s v="JAWA BARAT"/>
    <s v="32"/>
    <s v="BAPS"/>
    <s v="BAPS"/>
    <s v="RFI"/>
    <m/>
    <m/>
    <s v="LUCKI DWI PRISTANTO"/>
    <s v="FAZAR GANNY"/>
    <s v="A. RACHMAN"/>
    <s v="LUCKI DWI PRISTANTO"/>
    <s v="FAZAR GANNY"/>
    <s v="PUSPITO HADIYANTO"/>
    <s v="YUSTIA HARKAT"/>
    <x v="12"/>
    <s v="PT. Lintas Banyu Lestari"/>
    <d v="2019-11-14T10:42:06"/>
    <d v="2019-11-26T18:53:51"/>
    <d v="2020-04-04T00:00:00"/>
    <m/>
    <d v="2020-12-28T00:00:00"/>
    <d v="2019-11-25T11:04:07"/>
    <d v="2019-11-26T17:53:45"/>
    <d v="2019-11-26T18:25:29"/>
    <m/>
    <d v="2019-11-26T18:24:09"/>
    <d v="2020-04-01T00:00:00"/>
    <m/>
    <s v="497"/>
    <d v="2020-04-10T00:00:00"/>
    <d v="2019-12-20T00:00:00"/>
    <d v="2020-06-19T00:00:00"/>
    <d v="2020-06-11T00:00:00"/>
    <d v="2020-06-09T12:35:12"/>
    <s v="965/TBE/TOWER/BAPS-SMARTFREN/IX/20"/>
    <m/>
    <d v="2019-12-10T11:34:00"/>
    <s v="PO/TB/20/N005670"/>
    <d v="2020-04-17T12:17:00"/>
    <m/>
    <m/>
    <m/>
    <m/>
    <m/>
    <d v="2020-07-03T20:45:03"/>
    <d v="2020-12-28T00:00:00"/>
    <d v="2025-12-27T00:00:00"/>
    <d v="2019-09-02T00:00:00"/>
    <d v="2020-02-01T00:00:00"/>
    <d v="2020-02-25T09:01:01"/>
    <d v="2020-02-15T00:00:00"/>
    <d v="2020-03-17T15:27:08"/>
    <d v="2020-06-22T00:00:00"/>
    <d v="2020-04-13T00:00:00"/>
    <s v="MP"/>
    <s v="32"/>
    <s v="GF"/>
    <s v="1"/>
    <d v="2020-03-20T00:00:00"/>
    <d v="2020-04-30T00:00:00"/>
    <d v="2020-07-20T00:00:00"/>
    <m/>
    <s v="RFL"/>
    <d v="2019-11-29T00:00:00"/>
    <s v="OPM-SSTA/VII/2020/0097"/>
    <s v="okey"/>
    <d v="2020-07-27T18:26:22"/>
    <m/>
    <m/>
    <m/>
    <s v="538713736819"/>
    <d v="2020-04-01T00:00:00"/>
    <s v="PLN REGULER"/>
    <s v="Phase 6B - Smartfren"/>
    <s v="OUTDOOR"/>
    <d v="2020-04-04T20:45:03"/>
    <s v="Sub Urban"/>
    <s v="RTC 1"/>
    <s v="Standard"/>
    <s v="PO/TB/19/N012984"/>
    <n v="83200000"/>
    <n v="16700000"/>
    <n v="66500000"/>
    <x v="6"/>
  </r>
  <r>
    <s v="23054805231"/>
    <n v="23054805231"/>
    <x v="127"/>
    <s v="Jabo_Outer_add_024"/>
    <s v="TAJUR HALANG BOGOR"/>
    <s v="TAJUR HALANG BOGOR"/>
    <x v="0"/>
    <s v="-"/>
    <s v="STIP 1"/>
    <s v="SMART8"/>
    <s v="TB"/>
    <s v="013932/TBG-TB/SMART8/MKT/09/2019"/>
    <d v="2019-09-02T00:00:00"/>
    <s v="-6.45159"/>
    <s v="106.74622"/>
    <s v="Kp Sasak Panjang RT 01 RW 01 Desa Sasakpanjang Kec. Tajurhalang Kab. Bogor"/>
    <s v="JABODETABEK (OUTER)"/>
    <x v="3"/>
    <s v="JAWA BARAT"/>
    <s v="42"/>
    <s v="BAPS"/>
    <s v="BAPS"/>
    <s v="RFI"/>
    <m/>
    <m/>
    <s v="LUCKI DWI PRISTANTO"/>
    <s v="INDAH PURNAMASARI"/>
    <s v="A. RACHMAN"/>
    <s v="LUCKI DWI PRISTANTO"/>
    <s v="FAZAR GANNY"/>
    <s v="PUSPITO HADIYANTO"/>
    <s v="YUSTIA HARKAT"/>
    <x v="13"/>
    <s v="PT. PANEN KARYA BERSAMA"/>
    <d v="2019-10-18T13:33:48"/>
    <d v="2019-11-26T09:26:21"/>
    <d v="2020-01-28T00:00:00"/>
    <m/>
    <d v="2021-04-26T00:00:00"/>
    <d v="2019-11-19T18:14:15"/>
    <d v="2019-11-20T12:11:59"/>
    <d v="2019-11-25T10:07:25"/>
    <m/>
    <d v="2019-11-20T15:46:43"/>
    <d v="2020-01-23T00:00:00"/>
    <m/>
    <s v="497"/>
    <d v="2020-01-30T00:00:00"/>
    <d v="2019-11-15T00:00:00"/>
    <d v="2020-05-20T00:00:00"/>
    <d v="2020-05-29T00:00:00"/>
    <d v="2020-05-27T09:56:52"/>
    <s v="771/TBE/TOWER/BAPS-SMARTFREN/IX/20"/>
    <m/>
    <d v="2020-05-14T12:36:00"/>
    <s v="PO/TB/20/N005622"/>
    <d v="2020-04-16T13:49:00"/>
    <m/>
    <m/>
    <m/>
    <m/>
    <m/>
    <d v="2020-03-28T00:00:00"/>
    <d v="2021-04-26T00:00:00"/>
    <d v="2026-04-25T00:00:00"/>
    <d v="2019-09-02T00:00:00"/>
    <d v="2020-11-21T00:00:00"/>
    <d v="2020-12-04T17:16:38"/>
    <d v="2020-11-22T00:00:00"/>
    <d v="2020-12-09T17:05:49"/>
    <m/>
    <m/>
    <s v="SST"/>
    <s v="42"/>
    <s v="GF"/>
    <s v="1"/>
    <d v="2019-11-14T00:00:00"/>
    <d v="2021-01-31T00:00:00"/>
    <d v="2020-05-20T00:00:00"/>
    <m/>
    <s v="RFL"/>
    <d v="2019-11-29T00:00:00"/>
    <s v="OPM-SSTA/IV/2020/0324"/>
    <s v="Oke"/>
    <d v="2020-05-12T14:51:22"/>
    <m/>
    <s v="TBG-GM42-0517-0018"/>
    <d v="2020-01-28T10:48:35"/>
    <s v="538733406394"/>
    <d v="2020-01-23T00:00:00"/>
    <s v="PLN REGULER"/>
    <s v="Phase 6B - Smartfren"/>
    <s v="OUTDOOR"/>
    <d v="2020-01-28T00:00:00"/>
    <s v="Sub Urban"/>
    <s v="RTC 3"/>
    <s v="Standard"/>
    <s v="PO/TB/20/N007173"/>
    <n v="96500000"/>
    <n v="24500000"/>
    <n v="72000000"/>
    <x v="4"/>
  </r>
  <r>
    <s v="23055068231"/>
    <n v="23055068231"/>
    <x v="128"/>
    <s v="JAK0633"/>
    <s v="PONDOKMELATI"/>
    <s v="PONDOKMELATI"/>
    <x v="0"/>
    <s v="-"/>
    <s v="STIP 1"/>
    <s v="SMART8"/>
    <s v="TB"/>
    <s v="014579/TBG-TB/SMART8/MKT/10/2019"/>
    <d v="2019-10-11T00:00:00"/>
    <s v="-6.31699"/>
    <s v="106.92446"/>
    <s v="Jl. Raya Hankam RT 004 RW 005, Kel. Jati Melati Kec. Pondok Melati, Kota Bekasi Prov Jawa Barat"/>
    <s v="JABODETABEK (OUTER)"/>
    <x v="13"/>
    <s v="JAWA BARAT"/>
    <s v="36"/>
    <s v="BAPS"/>
    <s v="BAPS"/>
    <s v="RFI"/>
    <m/>
    <m/>
    <s v="LUCKI DWI PRISTANTO"/>
    <s v="FAZAR GANNY"/>
    <s v="A. RACHMAN"/>
    <s v="LUCKI DWI PRISTANTO"/>
    <s v="FAZAR GANNY"/>
    <s v="PUSPITO HADIYANTO"/>
    <s v="YUSTIA HARKAT"/>
    <x v="12"/>
    <s v="PT. Lintas Banyu Lestari"/>
    <d v="2020-02-12T11:15:45"/>
    <d v="2020-03-30T20:44:39"/>
    <d v="2020-04-30T00:00:00"/>
    <m/>
    <d v="2021-05-02T00:00:00"/>
    <d v="2020-02-28T13:49:07"/>
    <d v="2020-03-23T11:21:40"/>
    <d v="2020-03-30T09:42:13"/>
    <m/>
    <d v="2020-03-30T12:01:17"/>
    <d v="2020-04-28T00:00:00"/>
    <m/>
    <s v="458"/>
    <d v="2020-04-24T00:00:00"/>
    <d v="2020-03-20T00:00:00"/>
    <d v="2020-07-20T00:00:00"/>
    <d v="2020-07-07T00:00:00"/>
    <d v="2020-07-06T16:41:30"/>
    <s v="812/TBE/TOWER/BAPS-SMARTFREN/IX/20"/>
    <m/>
    <d v="2020-04-30T10:39:00"/>
    <s v="PO/TB/20/N008017"/>
    <d v="2020-06-01T20:34:00"/>
    <m/>
    <m/>
    <m/>
    <m/>
    <m/>
    <d v="2020-07-29T19:21:41"/>
    <d v="2021-05-02T00:00:00"/>
    <d v="2026-05-01T00:00:00"/>
    <d v="2019-10-11T00:00:00"/>
    <d v="2020-03-06T00:00:00"/>
    <d v="2020-04-11T06:42:28"/>
    <d v="2020-03-08T00:00:00"/>
    <d v="2020-04-25T15:27:32"/>
    <d v="2020-07-06T00:00:00"/>
    <d v="1899-12-31T00:00:00"/>
    <s v="SST"/>
    <s v="36"/>
    <s v="GF"/>
    <s v="1"/>
    <d v="2020-03-31T00:00:00"/>
    <d v="2020-09-30T00:00:00"/>
    <d v="2020-09-15T00:00:00"/>
    <m/>
    <s v="RFL"/>
    <d v="2020-03-30T00:00:00"/>
    <s v="OPM-SSTA/VII/2020/0156"/>
    <s v="Oke"/>
    <d v="2020-07-29T11:57:50"/>
    <m/>
    <m/>
    <m/>
    <s v="547303101894"/>
    <d v="2020-04-28T00:00:00"/>
    <s v="PLN REGULER"/>
    <s v="Phase 6B - Smartfren"/>
    <s v="OUTDOOR"/>
    <d v="2020-04-30T19:21:41"/>
    <s v="Dense Urban"/>
    <s v="RTC 1"/>
    <s v="Standard"/>
    <s v="PO/TB/20/N006396"/>
    <n v="79500000"/>
    <n v="5000000"/>
    <n v="74500000"/>
    <x v="2"/>
  </r>
  <r>
    <s v="23055075231"/>
    <n v="23055075231"/>
    <x v="129"/>
    <s v="BOG0175"/>
    <s v="PANDANSARI CIAWI"/>
    <s v="PANDANSARI CIAWI"/>
    <x v="0"/>
    <s v="-"/>
    <s v="STIP 1"/>
    <s v="SMART8"/>
    <s v="TB"/>
    <s v="014586/TBG-TB/SMART8/MKT/10/2019"/>
    <d v="2019-10-11T00:00:00"/>
    <s v="-6.63562"/>
    <s v="106.84499"/>
    <s v="Kp. Sinabeul RT 01 RW 02 Desa Cibanon Kec. Sukaraja Kab. Bogor"/>
    <s v="JABODETABEK (OUTER)"/>
    <x v="3"/>
    <s v="JAWA BARAT"/>
    <s v="42"/>
    <s v="BAPS"/>
    <s v="BAPS"/>
    <s v="RFI"/>
    <m/>
    <m/>
    <s v="LUCKI DWI PRISTANTO"/>
    <s v="INDAH PURNAMASARI"/>
    <s v="A. RACHMAN"/>
    <s v="LUCKI DWI PRISTANTO"/>
    <s v="FAZAR GANNY"/>
    <s v="PUSPITO HADIYANTO"/>
    <s v="YUSTIA HARKAT"/>
    <x v="9"/>
    <s v="PT. MANDIRA INFRA TRIPAKARTI"/>
    <d v="2019-12-12T10:50:02"/>
    <d v="2019-12-31T11:20:56"/>
    <d v="2020-01-28T00:00:00"/>
    <m/>
    <d v="2021-03-19T00:00:00"/>
    <d v="2019-12-31T06:31:59"/>
    <d v="2019-12-31T10:14:21"/>
    <d v="2019-12-31T11:15:16"/>
    <m/>
    <d v="2019-12-31T11:00:43"/>
    <m/>
    <m/>
    <s v="458"/>
    <d v="2020-01-30T00:00:00"/>
    <d v="2019-12-20T00:00:00"/>
    <d v="2020-05-20T00:00:00"/>
    <d v="2020-05-29T00:00:00"/>
    <d v="2020-05-27T09:45:15"/>
    <s v="810/TBE/TOWER/BAPS-SMARTFREN/IX/20"/>
    <m/>
    <d v="2020-02-14T15:21:00"/>
    <s v="PO/TB/20/N006825"/>
    <d v="2020-05-09T20:47:00"/>
    <m/>
    <m/>
    <m/>
    <m/>
    <m/>
    <d v="2020-03-28T00:00:00"/>
    <d v="2021-03-19T00:00:00"/>
    <d v="2026-03-18T00:00:00"/>
    <d v="2019-10-11T00:00:00"/>
    <m/>
    <m/>
    <m/>
    <m/>
    <m/>
    <m/>
    <s v="GYMS"/>
    <s v="42"/>
    <s v="GF"/>
    <s v="1"/>
    <d v="2019-12-20T00:00:00"/>
    <d v="2021-01-31T00:00:00"/>
    <d v="2020-05-20T00:00:00"/>
    <m/>
    <s v="RFL"/>
    <d v="2020-01-17T00:00:00"/>
    <s v="OPM-SSTA/IV/2020/0325"/>
    <s v="Oke"/>
    <d v="2020-05-30T13:20:25"/>
    <m/>
    <s v="TBG-GM42-1017-0193"/>
    <d v="2020-01-28T10:53:32"/>
    <m/>
    <d v="1899-12-31T00:00:00"/>
    <m/>
    <s v="Phase 6B - Smartfren"/>
    <s v="OUTDOOR"/>
    <d v="2020-01-28T00:00:00"/>
    <s v="Urban"/>
    <s v="RTC 3"/>
    <s v="Standard"/>
    <s v="PO/TB/20/N001774"/>
    <n v="71500000"/>
    <n v="8500000"/>
    <n v="63000000"/>
    <x v="2"/>
  </r>
  <r>
    <s v="23055087231"/>
    <n v="23055087231"/>
    <x v="130"/>
    <s v="BOG0064"/>
    <s v="SUKARAJA CILEBUT"/>
    <s v="SUKARAJA CILEBUT"/>
    <x v="0"/>
    <s v="-"/>
    <s v="STIP 1"/>
    <s v="SMART8"/>
    <s v="TB"/>
    <s v="014598/TBG-TB/SMART8/MKT/10/2019"/>
    <d v="2019-10-11T00:00:00"/>
    <s v="-6.52209"/>
    <s v="106.79879"/>
    <s v="Kp. Bojong Sempu RT 03/06 Desa Cilebut Barat Kecamatan Sukaraja Kab. Bogor"/>
    <s v="JABODETABEK (OUTER)"/>
    <x v="3"/>
    <s v="JAWA BARAT"/>
    <s v="42"/>
    <s v="BAPS"/>
    <s v="BAPS"/>
    <s v="RFI"/>
    <m/>
    <m/>
    <s v="LUCKI DWI PRISTANTO"/>
    <s v="FAZAR GANNY"/>
    <s v="A. RACHMAN"/>
    <s v="LUCKI DWI PRISTANTO"/>
    <s v="FAZAR GANNY"/>
    <s v="PUSPITO HADIYANTO"/>
    <s v="YUSTIA HARKAT"/>
    <x v="0"/>
    <s v="PT. Banjarpasir Nusa Pratama"/>
    <d v="2020-01-14T14:08:19"/>
    <d v="2020-01-19T14:05:27"/>
    <d v="2020-02-14T00:00:00"/>
    <m/>
    <d v="2020-11-22T00:00:00"/>
    <d v="2020-01-15T20:51:06"/>
    <d v="2020-01-16T13:00:27"/>
    <d v="2020-01-16T13:20:21"/>
    <m/>
    <d v="2020-01-16T15:28:54"/>
    <d v="2020-08-06T00:00:00"/>
    <m/>
    <s v="458"/>
    <d v="2020-02-21T00:00:00"/>
    <d v="2020-01-20T00:00:00"/>
    <d v="2020-05-20T00:00:00"/>
    <d v="2020-05-29T00:00:00"/>
    <d v="2020-05-27T09:59:33"/>
    <s v="891/TBE/TOWER/BAPS-SMARTFREN/IX/20"/>
    <m/>
    <d v="2020-01-24T11:27:00"/>
    <s v="PO/TB/20/N001623"/>
    <d v="2020-02-12T14:47:00"/>
    <m/>
    <m/>
    <m/>
    <m/>
    <m/>
    <d v="2020-04-14T00:00:00"/>
    <d v="2020-11-22T00:00:00"/>
    <d v="2025-11-21T00:00:00"/>
    <d v="2019-10-11T00:00:00"/>
    <d v="2020-07-13T00:00:00"/>
    <d v="2020-07-21T21:22:58"/>
    <d v="2020-07-19T00:00:00"/>
    <d v="2020-08-04T16:40:32"/>
    <d v="2020-09-21T00:00:00"/>
    <d v="2020-09-25T00:00:00"/>
    <s v="SST"/>
    <s v="42"/>
    <s v="GF"/>
    <s v="1"/>
    <d v="2020-01-20T00:00:00"/>
    <d v="2020-09-30T00:00:00"/>
    <d v="2020-05-20T00:00:00"/>
    <m/>
    <s v="RFL"/>
    <d v="2020-01-30T00:00:00"/>
    <s v="OPM-SSTA/IV/2020/0326"/>
    <s v="Oke"/>
    <d v="2020-05-12T14:51:48"/>
    <m/>
    <s v="TBG-GM42-0717-0024"/>
    <d v="2020-02-14T10:13:23"/>
    <s v="538414539618"/>
    <d v="2020-08-06T00:00:00"/>
    <s v="PLN REGULER"/>
    <s v="Phase 6B - Smartfren"/>
    <s v="OUTDOOR"/>
    <d v="2020-02-14T00:00:00"/>
    <s v="Sub Urban"/>
    <s v="RTC 1"/>
    <s v="Standard"/>
    <s v="PO/TB/20/N000755"/>
    <n v="96500000"/>
    <n v="23000000"/>
    <n v="73500000"/>
    <x v="2"/>
  </r>
  <r>
    <s v="23055089231"/>
    <n v="23055089231"/>
    <x v="131"/>
    <s v="BOG0055"/>
    <s v="CIBINONG NANGGEWER"/>
    <s v="CIBINONG NANGGEWER"/>
    <x v="0"/>
    <s v="-"/>
    <s v="STIP 1"/>
    <s v="SMART8"/>
    <s v="TB"/>
    <s v="014600/TBG-TB/SMART8/MKT/10/2019"/>
    <d v="2019-10-11T00:00:00"/>
    <s v="-6.51997"/>
    <s v="106.82410"/>
    <s v="Jl. Pramuka Babakan Tarikolot RT. 001 RW.008, Desa Nanggewer, Kec. Cibinong, Kabupaten Bogor"/>
    <s v="JABODETABEK (OUTER)"/>
    <x v="3"/>
    <s v="JAWA BARAT"/>
    <s v="42"/>
    <s v="BAPS"/>
    <s v="BAPS"/>
    <s v="RFI"/>
    <m/>
    <m/>
    <s v="LUCKI DWI PRISTANTO"/>
    <s v="INDAH PURNAMASARI"/>
    <s v="A. RACHMAN"/>
    <s v="LUCKI DWI PRISTANTO"/>
    <s v="FAZAR GANNY"/>
    <s v="PUSPITO HADIYANTO"/>
    <s v="YUSTIA HARKAT"/>
    <x v="2"/>
    <s v="PT ORLIE INDONESIA"/>
    <d v="2020-01-28T09:59:05"/>
    <d v="2020-01-31T19:24:51"/>
    <d v="2020-03-06T00:00:00"/>
    <m/>
    <d v="2021-06-02T00:00:00"/>
    <d v="2020-01-30T11:05:56"/>
    <d v="2020-01-30T18:23:14"/>
    <d v="2020-01-31T13:24:45"/>
    <m/>
    <d v="2020-01-31T14:15:44"/>
    <m/>
    <m/>
    <s v="458"/>
    <d v="2020-03-10T00:00:00"/>
    <d v="2020-01-20T00:00:00"/>
    <d v="2020-07-20T00:00:00"/>
    <d v="2020-07-01T00:00:00"/>
    <d v="2020-06-30T12:17:19"/>
    <s v="807/TBE/TOWER/BAPS-SMARTFREN/IX/20"/>
    <m/>
    <d v="2020-02-14T14:38:00"/>
    <s v="PO/TB/20/N014001"/>
    <d v="2020-09-28T08:39:00"/>
    <m/>
    <m/>
    <m/>
    <m/>
    <m/>
    <d v="2020-05-05T00:00:00"/>
    <d v="2021-06-02T00:00:00"/>
    <d v="2026-06-01T00:00:00"/>
    <d v="2019-10-11T00:00:00"/>
    <d v="2020-02-12T00:00:00"/>
    <m/>
    <m/>
    <m/>
    <m/>
    <m/>
    <s v="GYMS"/>
    <s v="42"/>
    <s v="GF"/>
    <s v="1"/>
    <d v="2020-02-20T00:00:00"/>
    <d v="2021-02-26T00:00:00"/>
    <d v="2020-05-20T00:00:00"/>
    <m/>
    <s v="RFL"/>
    <d v="2020-02-27T00:00:00"/>
    <s v="OPM-SSTA/IV/2020/0327"/>
    <s v="Oke"/>
    <d v="2020-05-30T13:20:50"/>
    <m/>
    <s v="TBG-GM42-0717-0033"/>
    <d v="2020-02-27T17:42:11"/>
    <m/>
    <d v="1899-12-31T00:00:00"/>
    <m/>
    <s v="Phase 6B - Smartfren"/>
    <s v="OUTDOOR"/>
    <d v="2020-03-06T00:00:00"/>
    <s v="Dense Urban"/>
    <s v="RTC 3"/>
    <s v="Standard"/>
    <s v="PO/TB/20/N001766"/>
    <n v="110000000"/>
    <n v="50000000"/>
    <n v="60000000"/>
    <x v="4"/>
  </r>
  <r>
    <s v="23055097231"/>
    <n v="23055097231"/>
    <x v="132"/>
    <s v="Point 204"/>
    <s v="TAMBORA JAKBAR"/>
    <s v="TAMBORA JAKBAR"/>
    <x v="1"/>
    <s v="-"/>
    <s v="STIP 1"/>
    <s v="SMART8"/>
    <s v="TB"/>
    <s v="014608/TBG-TB/SMART8/MKT/10/2019"/>
    <d v="2019-10-11T00:00:00"/>
    <s v="-6.15704"/>
    <s v="106.80612"/>
    <s v="Jl. Duri Selatan I , Duri Selatan , Kec. Tambora , Jakarta Barat"/>
    <s v="JABODETABEK (INNER)"/>
    <x v="6"/>
    <s v="DKI JAKARTA"/>
    <s v="20"/>
    <s v="BAPS"/>
    <s v="BAPS"/>
    <s v="RFI"/>
    <m/>
    <m/>
    <s v="LUCKI DWI PRISTANTO"/>
    <s v="FAZAR GANNY"/>
    <s v="A. RACHMAN"/>
    <s v="LUCKI DWI PRISTANTO"/>
    <s v="FAZAR GANNY"/>
    <s v="PUSPITO HADIYANTO"/>
    <s v="YUSTIA HARKAT"/>
    <x v="1"/>
    <m/>
    <d v="2020-02-06T12:46:00"/>
    <d v="2020-02-27T15:26:02"/>
    <d v="2020-02-28T00:00:00"/>
    <m/>
    <d v="2020-05-26T00:00:00"/>
    <d v="2020-02-06T12:54:18"/>
    <d v="2020-02-12T11:32:31"/>
    <d v="2020-02-27T13:09:04"/>
    <m/>
    <d v="2020-02-12T11:35:21"/>
    <d v="2020-02-28T00:00:00"/>
    <m/>
    <s v="458"/>
    <d v="2020-02-27T00:00:00"/>
    <d v="2020-02-28T00:00:00"/>
    <d v="2020-05-20T00:00:00"/>
    <d v="2020-05-26T00:00:00"/>
    <d v="2020-05-23T13:35:26"/>
    <s v="1109/TBE/TOWER/BAPS-SMARTFREN/IX/20"/>
    <m/>
    <d v="1899-12-31T00:00:00"/>
    <m/>
    <d v="1899-12-31T00:00:00"/>
    <m/>
    <m/>
    <m/>
    <m/>
    <m/>
    <d v="2020-05-28T17:50:45"/>
    <d v="2020-05-26T00:00:00"/>
    <d v="2025-05-25T00:00:00"/>
    <d v="2019-10-11T00:00:00"/>
    <d v="2020-03-13T00:00:00"/>
    <d v="2020-02-27T16:11:25"/>
    <d v="2020-02-12T00:00:00"/>
    <d v="2020-02-27T16:13:39"/>
    <m/>
    <m/>
    <s v="POLE"/>
    <s v="20"/>
    <s v="GF"/>
    <s v="1"/>
    <d v="2020-05-29T00:00:00"/>
    <m/>
    <d v="2020-06-28T00:00:00"/>
    <m/>
    <s v="RFL"/>
    <d v="2020-05-15T00:00:00"/>
    <s v="OPM-SSTA/VI/2020/0139"/>
    <s v="OK - sesuai hasil cek OME &amp; AFO"/>
    <d v="2020-06-30T15:17:16"/>
    <m/>
    <m/>
    <m/>
    <s v="542103660147"/>
    <d v="2020-02-28T00:00:00"/>
    <s v="PLN REGULER"/>
    <s v="Phase 6B - Smartfren"/>
    <s v="OUTDOOR"/>
    <d v="2020-02-28T17:50:45"/>
    <s v="Sub Urban"/>
    <m/>
    <s v="Lumpsum &amp; Fasum"/>
    <m/>
    <m/>
    <m/>
    <m/>
    <x v="7"/>
  </r>
  <r>
    <s v="23055098231"/>
    <n v="23055098231"/>
    <x v="133"/>
    <s v="Jabo Inner_Add_008"/>
    <s v="SETIA BUDI"/>
    <s v="SETIA BUDI"/>
    <x v="1"/>
    <s v="-"/>
    <s v="STIP 1"/>
    <s v="SMART8"/>
    <s v="TB"/>
    <s v="014609/TBG-TB/SMART8/MKT/10/2019"/>
    <d v="2019-10-11T00:00:00"/>
    <s v="-6.21123"/>
    <s v="106.82845"/>
    <s v="JL. Masjid Al- Bayinah, kuningan, karet , kecamatan setiabudi, Jakarta Selatan"/>
    <s v="JABODETABEK (INNER)"/>
    <x v="8"/>
    <s v="DKI JAKARTA"/>
    <s v="20"/>
    <s v="BAPS"/>
    <s v="BAPS"/>
    <s v="RFI"/>
    <m/>
    <m/>
    <s v="LUCKI DWI PRISTANTO"/>
    <s v="INDAH PURNAMASARI"/>
    <s v="A. RACHMAN"/>
    <s v="LUCKI DWI PRISTANTO"/>
    <s v="FAZAR GANNY"/>
    <s v="PUSPITO HADIYANTO"/>
    <s v="YUSTIA HARKAT"/>
    <x v="1"/>
    <m/>
    <d v="2019-10-31T10:45:14"/>
    <d v="2019-10-31T12:40:26"/>
    <d v="2020-01-03T00:00:00"/>
    <m/>
    <d v="2020-05-29T00:00:00"/>
    <m/>
    <d v="2019-10-31T11:49:05"/>
    <m/>
    <m/>
    <d v="2019-10-31T11:55:51"/>
    <d v="2020-01-03T00:00:00"/>
    <m/>
    <s v="458"/>
    <d v="2020-01-10T00:00:00"/>
    <m/>
    <d v="2020-02-20T00:00:00"/>
    <d v="2020-02-28T00:00:00"/>
    <d v="2020-02-28T18:10:56"/>
    <s v="1111/TBE/TOWER/BAPS-SMARTFREN/IX/20"/>
    <m/>
    <d v="1899-12-31T00:00:00"/>
    <m/>
    <d v="1899-12-31T00:00:00"/>
    <m/>
    <m/>
    <m/>
    <m/>
    <m/>
    <d v="2020-04-02T22:53:24"/>
    <d v="2020-05-29T00:00:00"/>
    <d v="2025-05-28T00:00:00"/>
    <d v="2019-10-11T00:00:00"/>
    <d v="2019-12-06T00:00:00"/>
    <d v="2019-12-27T17:49:26"/>
    <d v="2019-12-09T00:00:00"/>
    <d v="2019-12-27T17:50:45"/>
    <m/>
    <m/>
    <s v="MP"/>
    <s v="20"/>
    <s v="GF"/>
    <s v="1"/>
    <m/>
    <m/>
    <d v="2020-07-20T00:00:00"/>
    <m/>
    <m/>
    <m/>
    <s v="OPM-SSTA/VII/2020/0099"/>
    <s v="okey"/>
    <d v="2020-07-28T15:24:55"/>
    <m/>
    <m/>
    <m/>
    <s v="541103696052"/>
    <d v="2020-01-03T00:00:00"/>
    <s v="PLN REGULER"/>
    <s v="Phase 6B - Smartfren"/>
    <s v="OUTDOOR"/>
    <d v="2020-01-03T22:53:24"/>
    <s v="Urban"/>
    <m/>
    <s v="Lumpsum &amp; Fasum"/>
    <m/>
    <m/>
    <m/>
    <m/>
    <x v="7"/>
  </r>
</pivotCacheRecords>
</file>

<file path=xl/pivotCache/pivotCacheRecords2.xml><?xml version="1.0" encoding="utf-8"?>
<pivotCacheRecords xmlns="http://schemas.openxmlformats.org/spreadsheetml/2006/main" xmlns:r="http://schemas.openxmlformats.org/officeDocument/2006/relationships" count="227">
  <r>
    <s v="23054786231"/>
    <s v="125932123"/>
    <s v="JAK0742"/>
    <s v="DEPOK CIMANGGIS"/>
    <s v="DEPOK CIMANGGIS"/>
    <s v="NEW BUILD"/>
    <s v="STIP 1"/>
    <s v="SMART8"/>
    <x v="0"/>
    <d v="2019-09-02T00:00:00"/>
    <s v="013913/TBG-TB/SMART8/MKT/09/2019"/>
    <d v="2019-09-02T00:00:00"/>
    <s v="-6.363496"/>
    <s v="-6.363496"/>
    <m/>
    <s v="JABODETABEK (INNER)"/>
    <x v="0"/>
    <s v="JAWA BARAT"/>
    <n v="32"/>
    <m/>
    <x v="0"/>
    <m/>
    <m/>
    <m/>
    <s v="32"/>
    <m/>
    <m/>
    <m/>
    <m/>
    <m/>
    <m/>
    <d v="2021-01-06T00:00:00"/>
    <x v="0"/>
    <d v="2021-02-05T00:00:00"/>
    <x v="0"/>
    <n v="834"/>
    <m/>
    <x v="0"/>
    <m/>
    <x v="0"/>
    <m/>
    <m/>
    <m/>
    <m/>
  </r>
  <r>
    <s v="23054864231"/>
    <s v="131699123"/>
    <s v="JAK1028"/>
    <s v="KELAPA DUA TANGERANG"/>
    <s v="KELAPA DUA TANGERANG"/>
    <s v="NEW BUILD"/>
    <s v="STIP 1"/>
    <s v="SMART8"/>
    <x v="0"/>
    <d v="2019-09-02T00:00:00"/>
    <s v="013991/TBG-TB/SMART8/MKT/09/2019"/>
    <d v="2019-09-02T00:00:00"/>
    <s v="-6.239031"/>
    <s v="-6.239031"/>
    <m/>
    <s v="JABODETABEK (OUTER)"/>
    <x v="1"/>
    <s v="BANTEN"/>
    <n v="32"/>
    <m/>
    <x v="0"/>
    <m/>
    <m/>
    <m/>
    <s v="32"/>
    <m/>
    <m/>
    <m/>
    <m/>
    <m/>
    <m/>
    <d v="2021-01-06T00:00:00"/>
    <x v="0"/>
    <d v="2021-02-05T00:00:00"/>
    <x v="0"/>
    <n v="834"/>
    <m/>
    <x v="0"/>
    <m/>
    <x v="0"/>
    <m/>
    <m/>
    <m/>
    <m/>
  </r>
  <r>
    <s v="0230553940231"/>
    <s v="1127001023"/>
    <s v="ZJKT2_5296"/>
    <s v="KEBON JERUK 362"/>
    <s v="KEBON JERUK 362"/>
    <s v="NEW MCP NON FO"/>
    <s v="STIP 1"/>
    <s v="SMART8"/>
    <x v="0"/>
    <d v="2019-11-20T00:00:00"/>
    <s v="015105/TBG-TB/SMART8/MKT/11/2019"/>
    <d v="2019-11-20T00:00:00"/>
    <s v="-6.202117"/>
    <s v="-6.202117"/>
    <m/>
    <s v="JABODETABEK (INNER)"/>
    <x v="2"/>
    <s v="DKI JAKARTA"/>
    <n v="30"/>
    <m/>
    <x v="0"/>
    <m/>
    <m/>
    <m/>
    <s v="30"/>
    <m/>
    <m/>
    <m/>
    <m/>
    <m/>
    <m/>
    <d v="2021-01-06T00:00:00"/>
    <x v="0"/>
    <d v="2021-02-05T00:00:00"/>
    <x v="0"/>
    <n v="755"/>
    <m/>
    <x v="0"/>
    <m/>
    <x v="0"/>
    <m/>
    <m/>
    <m/>
    <m/>
  </r>
  <r>
    <s v="0230553950231"/>
    <s v="1127011023"/>
    <s v="ZJKT2_5301"/>
    <s v="DURI KOSAMBI 371"/>
    <s v="DURI KOSAMBI 371"/>
    <s v="NEW MCP NON FO"/>
    <s v="STIP 1"/>
    <s v="SMART8"/>
    <x v="0"/>
    <d v="2019-11-20T00:00:00"/>
    <s v="015106/TBG-TB/SMART8/MKT/11/2019"/>
    <d v="2019-11-20T00:00:00"/>
    <s v="-6.177989"/>
    <s v="-6.177989"/>
    <m/>
    <s v="JABODETABEK (INNER)"/>
    <x v="2"/>
    <s v="DKI JAKARTA"/>
    <n v="20"/>
    <m/>
    <x v="0"/>
    <m/>
    <m/>
    <m/>
    <s v="20"/>
    <m/>
    <m/>
    <m/>
    <m/>
    <m/>
    <m/>
    <d v="2021-01-06T00:00:00"/>
    <x v="0"/>
    <d v="2021-02-05T00:00:00"/>
    <x v="0"/>
    <n v="755"/>
    <m/>
    <x v="0"/>
    <m/>
    <x v="0"/>
    <m/>
    <m/>
    <m/>
    <m/>
  </r>
  <r>
    <s v="0230553960231"/>
    <s v="1127021023"/>
    <s v="ZJKT2_5337"/>
    <s v="HALIM PERDANA KUSUMAH 497"/>
    <s v="HALIM PERDANA KUSUMAH 497"/>
    <s v="NEW MCP NON FO"/>
    <s v="STIP 1"/>
    <s v="SMART8"/>
    <x v="0"/>
    <d v="2019-11-20T00:00:00"/>
    <s v="015107/TBG-TB/SMART8/MKT/11/2019"/>
    <d v="2019-11-20T00:00:00"/>
    <s v="-6.266275"/>
    <s v="-6.266275"/>
    <m/>
    <s v="JABODETABEK (INNER)"/>
    <x v="3"/>
    <s v="DKI JAKARTA"/>
    <n v="40"/>
    <m/>
    <x v="0"/>
    <m/>
    <m/>
    <m/>
    <s v="40"/>
    <m/>
    <m/>
    <m/>
    <m/>
    <m/>
    <m/>
    <d v="2021-01-06T00:00:00"/>
    <x v="0"/>
    <d v="2021-02-05T00:00:00"/>
    <x v="0"/>
    <n v="755"/>
    <m/>
    <x v="0"/>
    <m/>
    <x v="0"/>
    <m/>
    <m/>
    <m/>
    <m/>
  </r>
  <r>
    <s v="0230560240231"/>
    <s v="1317261023"/>
    <s v="ZJKT_5552"/>
    <s v="SEPATAN TANGERANG"/>
    <s v="SEPATAN TANGERANG"/>
    <s v="NEW BUILD"/>
    <s v="STIP 1"/>
    <s v="SMART8"/>
    <x v="0"/>
    <n v="2020"/>
    <s v="016837/TBG-TB/SMART8/MKT/12/2019"/>
    <d v="2019-12-30T00:00:00"/>
    <s v="-6.14699"/>
    <s v="106.58906"/>
    <m/>
    <s v="JABODETABEK (OUTER)"/>
    <x v="1"/>
    <s v="BANTEN"/>
    <n v="42"/>
    <s v="PT. MANDIRA INFRA TRIPAKARTI"/>
    <x v="0"/>
    <m/>
    <m/>
    <m/>
    <m/>
    <m/>
    <m/>
    <m/>
    <m/>
    <s v="SST"/>
    <s v="GF"/>
    <s v="DONE"/>
    <x v="1"/>
    <e v="#VALUE!"/>
    <x v="1"/>
    <n v="326"/>
    <s v="DONE"/>
    <x v="0"/>
    <m/>
    <x v="1"/>
    <s v="RFC"/>
    <m/>
    <m/>
    <m/>
  </r>
  <r>
    <s v="0030571840031"/>
    <s v="1127661003"/>
    <s v="JAW-JK-KYB-0105"/>
    <s v="JALAN KUBUR ISLAM"/>
    <s v="Jalan Kubur Islam"/>
    <s v="NEW MCP NON FO"/>
    <s v="STIP 1"/>
    <s v="XL"/>
    <x v="0"/>
    <m/>
    <s v="018369/TBG-TB/XL/MKT/01/2020"/>
    <d v="2020-01-14T00:00:00"/>
    <s v="-6.231306"/>
    <s v="106.782136"/>
    <m/>
    <s v="JABODETABEK (INNER)"/>
    <x v="4"/>
    <s v="DKI JAKARTA"/>
    <n v="20"/>
    <s v="PT. KARYA LINTAS SEJAHTERA"/>
    <x v="1"/>
    <m/>
    <n v="-6.2324599999999997"/>
    <n v="106.78104999999999"/>
    <n v="20"/>
    <n v="20"/>
    <d v="2020-11-17T00:00:00"/>
    <m/>
    <m/>
    <s v="POLE"/>
    <s v="GF"/>
    <s v="DONE"/>
    <x v="1"/>
    <e v="#VALUE!"/>
    <x v="2"/>
    <n v="323"/>
    <s v="DONE"/>
    <x v="0"/>
    <m/>
    <x v="1"/>
    <s v="RFC"/>
    <m/>
    <m/>
    <m/>
  </r>
  <r>
    <s v="00230560280231"/>
    <n v="1260541023"/>
    <s v="ZBGR_4269"/>
    <s v="SUKARAJA BOGOR"/>
    <s v="SUKARAJA BOGOR"/>
    <s v="NEW BUILD"/>
    <s v="STIP 1"/>
    <s v="SMART8"/>
    <x v="0"/>
    <n v="2019"/>
    <s v="016841/TBG-TB/SMART8/MKT/12/2019"/>
    <d v="2019-12-30T00:00:00"/>
    <n v="-6.5545109999999998"/>
    <n v="106.830951"/>
    <m/>
    <s v="JABODETABEK (OUTER)"/>
    <x v="5"/>
    <s v="JAWA BARAT"/>
    <n v="35"/>
    <m/>
    <x v="0"/>
    <m/>
    <m/>
    <m/>
    <n v="35"/>
    <m/>
    <m/>
    <m/>
    <m/>
    <s v="SST"/>
    <s v="GF"/>
    <d v="2021-01-06T00:00:00"/>
    <x v="0"/>
    <d v="2021-02-05T00:00:00"/>
    <x v="0"/>
    <n v="715"/>
    <m/>
    <x v="0"/>
    <m/>
    <x v="0"/>
    <s v="Realisasi IW"/>
    <m/>
    <m/>
    <m/>
  </r>
  <r>
    <s v="0230560250231"/>
    <s v="1317271023"/>
    <s v="ZJKT2_4070"/>
    <s v="CIPUTAT TIMUR"/>
    <s v="CIPUTAT TIMUR"/>
    <s v="NEW BUILD"/>
    <s v="STIP 1"/>
    <s v="SMART8"/>
    <x v="0"/>
    <d v="2019-12-30T00:00:00"/>
    <s v="016838/TBG-TB/SMART8/MKT/12/2019"/>
    <d v="2019-12-30T00:00:00"/>
    <s v="-6.31615"/>
    <s v="-6.31615"/>
    <m/>
    <s v="JABODETABEK (OUTER)"/>
    <x v="6"/>
    <s v="BANTEN"/>
    <n v="25"/>
    <m/>
    <x v="0"/>
    <m/>
    <m/>
    <m/>
    <s v="25"/>
    <m/>
    <m/>
    <m/>
    <m/>
    <m/>
    <m/>
    <d v="2021-01-06T00:00:00"/>
    <x v="0"/>
    <d v="2021-02-05T00:00:00"/>
    <x v="0"/>
    <n v="715"/>
    <m/>
    <x v="0"/>
    <m/>
    <x v="0"/>
    <m/>
    <m/>
    <m/>
    <m/>
  </r>
  <r>
    <s v="0230560260231"/>
    <s v="1260521023"/>
    <s v="ZJKT2_4174"/>
    <s v="BEKASI UTARA 1"/>
    <s v="BEKASI UTARA 1"/>
    <s v="NEW BUILD"/>
    <s v="STIP 1"/>
    <s v="SMART8"/>
    <x v="0"/>
    <d v="2019-12-30T00:00:00"/>
    <s v="016839/TBG-TB/SMART8/MKT/12/2019"/>
    <d v="2019-12-30T00:00:00"/>
    <s v="-6.20892"/>
    <s v="-6.20892"/>
    <m/>
    <s v="JABODETABEK (OUTER)"/>
    <x v="7"/>
    <s v="JAWA BARAT"/>
    <n v="27"/>
    <m/>
    <x v="0"/>
    <m/>
    <m/>
    <m/>
    <s v="27"/>
    <m/>
    <m/>
    <m/>
    <m/>
    <m/>
    <m/>
    <d v="2021-01-06T00:00:00"/>
    <x v="0"/>
    <d v="2021-02-05T00:00:00"/>
    <x v="0"/>
    <n v="715"/>
    <m/>
    <x v="0"/>
    <m/>
    <x v="0"/>
    <m/>
    <m/>
    <m/>
    <m/>
  </r>
  <r>
    <s v="0230560270231"/>
    <s v="1260531023"/>
    <s v="ZBGR_4046"/>
    <s v="CIBINONG BOGOR"/>
    <s v="CIBINONG BOGOR"/>
    <s v="NEW BUILD"/>
    <s v="STIP 1"/>
    <s v="SMART8"/>
    <x v="0"/>
    <d v="2019-12-30T00:00:00"/>
    <s v="016840/TBG-TB/SMART8/MKT/12/2019"/>
    <d v="2019-12-30T00:00:00"/>
    <s v="-6.519681"/>
    <s v="-6.519681"/>
    <m/>
    <s v="JABODETABEK (OUTER)"/>
    <x v="5"/>
    <s v="JAWA BARAT"/>
    <n v="30"/>
    <m/>
    <x v="0"/>
    <m/>
    <m/>
    <m/>
    <s v="30"/>
    <m/>
    <m/>
    <m/>
    <m/>
    <m/>
    <m/>
    <d v="2021-01-06T00:00:00"/>
    <x v="0"/>
    <d v="2021-02-05T00:00:00"/>
    <x v="0"/>
    <n v="715"/>
    <m/>
    <x v="0"/>
    <m/>
    <x v="0"/>
    <m/>
    <m/>
    <m/>
    <m/>
  </r>
  <r>
    <s v="0230560300231"/>
    <s v="1317291023"/>
    <s v="ZJKT2_4388"/>
    <s v="PAMULANG TANGERANG SELATAN"/>
    <s v="PAMULANG TANGERANG SELATAN"/>
    <s v="NEW BUILD"/>
    <s v="STIP 1"/>
    <s v="SMART8"/>
    <x v="0"/>
    <d v="2019-12-30T00:00:00"/>
    <s v="016843/TBG-TB/SMART8/MKT/12/2019"/>
    <d v="2019-12-30T00:00:00"/>
    <s v="-6.334573"/>
    <s v="-6.334573"/>
    <m/>
    <s v="JABODETABEK (OUTER)"/>
    <x v="6"/>
    <s v="BANTEN"/>
    <n v="30"/>
    <m/>
    <x v="0"/>
    <m/>
    <m/>
    <m/>
    <s v="30"/>
    <m/>
    <m/>
    <m/>
    <m/>
    <m/>
    <m/>
    <d v="2021-01-06T00:00:00"/>
    <x v="0"/>
    <d v="2021-02-05T00:00:00"/>
    <x v="0"/>
    <n v="715"/>
    <m/>
    <x v="0"/>
    <m/>
    <x v="0"/>
    <s v="Realisasi IW"/>
    <s v="[9.12.20] Submit eskalasi SITAC"/>
    <m/>
    <s v="Propose Fortuna"/>
  </r>
  <r>
    <s v="0230560320231"/>
    <s v="1260551023"/>
    <s v="ZJKT2_4306"/>
    <s v="BEJIDEPOK"/>
    <s v="BEJIDEPOK"/>
    <s v="NEW BUILD"/>
    <s v="STIP 1"/>
    <s v="SMART8"/>
    <x v="0"/>
    <d v="2019-12-30T00:00:00"/>
    <s v="016845/TBG-TB/SMART8/MKT/12/2019"/>
    <d v="2019-12-30T00:00:00"/>
    <s v="-6.372441"/>
    <s v="-6.372441"/>
    <m/>
    <s v="JABODETABEK (INNER)"/>
    <x v="0"/>
    <s v="JAWA BARAT"/>
    <n v="25"/>
    <m/>
    <x v="0"/>
    <m/>
    <m/>
    <m/>
    <s v="25"/>
    <m/>
    <m/>
    <m/>
    <m/>
    <m/>
    <m/>
    <d v="2021-01-06T00:00:00"/>
    <x v="0"/>
    <d v="2021-02-05T00:00:00"/>
    <x v="0"/>
    <n v="715"/>
    <m/>
    <x v="0"/>
    <m/>
    <x v="0"/>
    <m/>
    <m/>
    <m/>
    <m/>
  </r>
  <r>
    <s v="0230560330231"/>
    <s v="1317311023"/>
    <s v="ZJKT2_4350"/>
    <s v="KARANG TENGAH KOTA TANGERANG"/>
    <s v="KARANG TENGAH KOTA TANGERANG"/>
    <s v="NEW BUILD"/>
    <s v="STIP 1"/>
    <s v="SMART8"/>
    <x v="0"/>
    <d v="2019-12-30T00:00:00"/>
    <s v="016846/TBG-TB/SMART8/MKT/12/2019"/>
    <d v="2019-12-30T00:00:00"/>
    <s v="-6.226212"/>
    <s v="-6.226212"/>
    <m/>
    <s v="JABODETABEK (INNER)"/>
    <x v="8"/>
    <s v="BANTEN"/>
    <n v="25"/>
    <m/>
    <x v="0"/>
    <m/>
    <m/>
    <m/>
    <s v="25"/>
    <m/>
    <m/>
    <m/>
    <m/>
    <m/>
    <m/>
    <d v="2021-01-06T00:00:00"/>
    <x v="0"/>
    <d v="2021-02-05T00:00:00"/>
    <x v="0"/>
    <n v="715"/>
    <m/>
    <x v="0"/>
    <m/>
    <x v="0"/>
    <m/>
    <m/>
    <m/>
    <m/>
  </r>
  <r>
    <s v="0230560340231"/>
    <s v="1260561023"/>
    <s v="ZJKT2_4514"/>
    <s v="BEKASI UTARA 2"/>
    <s v="BEKASI UTARA 2"/>
    <s v="NEW BUILD"/>
    <s v="STIP 1"/>
    <s v="SMART8"/>
    <x v="0"/>
    <d v="2019-12-30T00:00:00"/>
    <s v="016847/TBG-TB/SMART8/MKT/12/2019"/>
    <d v="2019-12-30T00:00:00"/>
    <s v="-6.177563"/>
    <s v="-6.177563"/>
    <m/>
    <s v="JABODETABEK (OUTER)"/>
    <x v="7"/>
    <s v="JAWA BARAT"/>
    <n v="30"/>
    <m/>
    <x v="0"/>
    <m/>
    <m/>
    <m/>
    <s v="30"/>
    <m/>
    <m/>
    <m/>
    <m/>
    <m/>
    <m/>
    <d v="2021-01-06T00:00:00"/>
    <x v="0"/>
    <d v="2021-02-05T00:00:00"/>
    <x v="0"/>
    <n v="715"/>
    <m/>
    <x v="0"/>
    <m/>
    <x v="0"/>
    <m/>
    <m/>
    <m/>
    <m/>
  </r>
  <r>
    <s v="0230560350231"/>
    <s v="1260571023"/>
    <s v="ZBGR_4355"/>
    <s v="GUNUNG PUTRI BOGOR"/>
    <s v="GUNUNG PUTRI BOGOR"/>
    <s v="NEW BUILD"/>
    <s v="STIP 1"/>
    <s v="SMART8"/>
    <x v="0"/>
    <d v="2019-12-30T00:00:00"/>
    <s v="016848/TBG-TB/SMART8/MKT/12/2019"/>
    <d v="2019-12-30T00:00:00"/>
    <s v="-6.461526"/>
    <s v="-6.461526"/>
    <m/>
    <s v="JABODETABEK (OUTER)"/>
    <x v="5"/>
    <s v="JAWA BARAT"/>
    <n v="30"/>
    <m/>
    <x v="0"/>
    <m/>
    <m/>
    <m/>
    <s v="30"/>
    <m/>
    <m/>
    <m/>
    <m/>
    <m/>
    <m/>
    <d v="2021-01-06T00:00:00"/>
    <x v="0"/>
    <d v="2021-02-05T00:00:00"/>
    <x v="0"/>
    <n v="715"/>
    <m/>
    <x v="0"/>
    <m/>
    <x v="0"/>
    <m/>
    <m/>
    <m/>
    <m/>
  </r>
  <r>
    <s v="0230560360231"/>
    <s v="1317321023"/>
    <s v="ZJKT2_4999"/>
    <s v="CIPUTAT 2"/>
    <s v="CIPUTAT 2"/>
    <s v="NEW BUILD"/>
    <s v="STIP 1"/>
    <s v="SMART8"/>
    <x v="0"/>
    <d v="2019-12-30T00:00:00"/>
    <s v="016849/TBG-TB/SMART8/MKT/12/2019"/>
    <d v="2019-12-30T00:00:00"/>
    <s v="-6.299844"/>
    <s v="-6.299844"/>
    <m/>
    <s v="JABODETABEK (OUTER)"/>
    <x v="6"/>
    <s v="BANTEN"/>
    <n v="28"/>
    <m/>
    <x v="0"/>
    <m/>
    <m/>
    <m/>
    <s v="28"/>
    <m/>
    <m/>
    <m/>
    <m/>
    <m/>
    <m/>
    <d v="2021-01-06T00:00:00"/>
    <x v="0"/>
    <d v="2021-02-05T00:00:00"/>
    <x v="0"/>
    <n v="715"/>
    <m/>
    <x v="0"/>
    <m/>
    <x v="0"/>
    <m/>
    <m/>
    <m/>
    <m/>
  </r>
  <r>
    <s v="0230560380231"/>
    <s v="1317331023"/>
    <s v="ZJKT2_5122"/>
    <s v="CIPUTAT 3"/>
    <s v="CIPUTAT 3"/>
    <s v="NEW BUILD"/>
    <s v="STIP 1"/>
    <s v="SMART8"/>
    <x v="0"/>
    <d v="2019-12-30T00:00:00"/>
    <s v="016851/TBG-TB/SMART8/MKT/12/2019"/>
    <d v="2019-12-30T00:00:00"/>
    <s v="-6.299819"/>
    <s v="-6.299819"/>
    <m/>
    <s v="JABODETABEK (OUTER)"/>
    <x v="6"/>
    <s v="BANTEN"/>
    <n v="25"/>
    <m/>
    <x v="0"/>
    <m/>
    <m/>
    <m/>
    <s v="25"/>
    <m/>
    <m/>
    <m/>
    <m/>
    <m/>
    <m/>
    <d v="2021-01-06T00:00:00"/>
    <x v="0"/>
    <d v="2021-02-05T00:00:00"/>
    <x v="0"/>
    <n v="715"/>
    <m/>
    <x v="0"/>
    <m/>
    <x v="0"/>
    <m/>
    <m/>
    <m/>
    <m/>
  </r>
  <r>
    <s v="0230560390231"/>
    <s v="1317341023"/>
    <s v="ZJKT2_5175"/>
    <s v="PINANG"/>
    <s v="PINANG"/>
    <s v="NEW BUILD"/>
    <s v="STIP 1"/>
    <s v="SMART8"/>
    <x v="0"/>
    <d v="2019-12-30T00:00:00"/>
    <s v="016852/TBG-TB/SMART8/MKT/12/2019"/>
    <d v="2019-12-30T00:00:00"/>
    <s v="-6.195118"/>
    <s v="-6.195118"/>
    <m/>
    <s v="JABODETABEK (INNER)"/>
    <x v="8"/>
    <s v="BANTEN"/>
    <n v="25"/>
    <m/>
    <x v="0"/>
    <m/>
    <m/>
    <m/>
    <s v="25"/>
    <m/>
    <m/>
    <m/>
    <m/>
    <m/>
    <m/>
    <d v="2021-01-06T00:00:00"/>
    <x v="0"/>
    <d v="2021-02-05T00:00:00"/>
    <x v="0"/>
    <n v="715"/>
    <m/>
    <x v="0"/>
    <m/>
    <x v="0"/>
    <m/>
    <m/>
    <m/>
    <m/>
  </r>
  <r>
    <s v="0230560780231"/>
    <s v="1127541023"/>
    <s v="ZJKT2_4248"/>
    <s v="KEMAYORAN"/>
    <s v="KEMAYORAN"/>
    <s v="NEW MCP NON FO"/>
    <s v="STIP 1"/>
    <s v="SMART8"/>
    <x v="0"/>
    <d v="2019-12-31T00:00:00"/>
    <s v="016907/TBG-TB/SMART8/MKT/12/2019"/>
    <d v="2019-12-31T00:00:00"/>
    <s v="-6.157403"/>
    <s v="-6.157403"/>
    <m/>
    <s v="JABODETABEK (INNER)"/>
    <x v="9"/>
    <s v="DKI JAKARTA"/>
    <n v="20"/>
    <m/>
    <x v="0"/>
    <m/>
    <m/>
    <m/>
    <s v="20"/>
    <m/>
    <m/>
    <m/>
    <m/>
    <m/>
    <m/>
    <d v="2021-01-06T00:00:00"/>
    <x v="0"/>
    <d v="2021-02-05T00:00:00"/>
    <x v="0"/>
    <n v="714"/>
    <m/>
    <x v="0"/>
    <m/>
    <x v="0"/>
    <m/>
    <m/>
    <m/>
    <m/>
  </r>
  <r>
    <s v="0030572100031"/>
    <s v="1260911003"/>
    <s v="JAW-JB-CBI-0070"/>
    <s v="KANDANG RODA SENTUL"/>
    <s v="Kandang Roda Sentul"/>
    <s v="NEW BUILD"/>
    <s v="STIP 1"/>
    <s v="XL"/>
    <x v="0"/>
    <n v="2020"/>
    <s v="018395/TBG-TB/XL/MKT/01/2020"/>
    <d v="2020-01-14T00:00:00"/>
    <s v="-6.52122"/>
    <s v="106.84114"/>
    <m/>
    <s v="JABODETABEK (OUTER)"/>
    <x v="5"/>
    <s v="JAWA BARAT"/>
    <n v="50"/>
    <s v="SS"/>
    <x v="2"/>
    <m/>
    <m/>
    <m/>
    <n v="52"/>
    <m/>
    <m/>
    <m/>
    <m/>
    <s v="SST"/>
    <s v="GF"/>
    <d v="2021-01-06T00:00:00"/>
    <x v="0"/>
    <d v="2021-02-05T00:00:00"/>
    <x v="0"/>
    <n v="700"/>
    <m/>
    <x v="0"/>
    <m/>
    <x v="0"/>
    <s v="Re-Hunting"/>
    <s v="[9.12.20] Re-Hunting Kandidat"/>
    <m/>
    <m/>
  </r>
  <r>
    <s v="0030572380031"/>
    <s v="1127881003"/>
    <s v="JAW-JK-TJP-0625"/>
    <s v="JALAN PANTAI INDAH SELATAN 2"/>
    <s v="Jalan Pantai Indah Selatan 2"/>
    <s v="NEW MCP NON FO"/>
    <s v="STIP 1"/>
    <s v="XL"/>
    <x v="0"/>
    <n v="2020"/>
    <s v="018423/TBG-TB/XL/MKT/01/2020"/>
    <d v="2020-01-14T00:00:00"/>
    <s v="-6.128104"/>
    <s v="106.760621"/>
    <m/>
    <s v="JABODETABEK (INNER)"/>
    <x v="10"/>
    <s v="DKI JAKARTA"/>
    <n v="20"/>
    <s v="PT. KARYA LINTAS SEJAHTERA"/>
    <x v="3"/>
    <m/>
    <m/>
    <m/>
    <n v="20"/>
    <m/>
    <m/>
    <m/>
    <m/>
    <s v="POLE"/>
    <s v="GF"/>
    <s v="DONE"/>
    <x v="1"/>
    <e v="#VALUE!"/>
    <x v="1"/>
    <n v="311"/>
    <s v="DONE"/>
    <x v="0"/>
    <m/>
    <x v="1"/>
    <s v="RFC"/>
    <s v="RFC"/>
    <m/>
    <m/>
  </r>
  <r>
    <s v="0030571930031"/>
    <s v="1127731003"/>
    <s v="JAW-JK-TJP-0616"/>
    <s v="KOMPLEK GREEN GARDEN"/>
    <s v="Komplek Green Garden"/>
    <s v="NEW MCP NON FO"/>
    <s v="STIP 1"/>
    <s v="XL"/>
    <x v="0"/>
    <n v="2020"/>
    <s v="018378/TBG-TB/XL/MKT/01/2020"/>
    <d v="2020-01-14T00:00:00"/>
    <s v="-6.152426"/>
    <s v="106.949209"/>
    <m/>
    <s v="JABODETABEK (INNER)"/>
    <x v="10"/>
    <s v="DKI JAKARTA"/>
    <n v="20"/>
    <m/>
    <x v="0"/>
    <m/>
    <m/>
    <m/>
    <m/>
    <m/>
    <m/>
    <m/>
    <m/>
    <s v="MONOPOLE"/>
    <s v="GF"/>
    <d v="2021-01-06T00:00:00"/>
    <x v="0"/>
    <d v="2021-02-05T00:00:00"/>
    <x v="0"/>
    <n v="700"/>
    <m/>
    <x v="0"/>
    <m/>
    <x v="0"/>
    <m/>
    <m/>
    <m/>
    <m/>
  </r>
  <r>
    <s v="0030572370031"/>
    <s v="1127871003"/>
    <s v="JAW-JK-CKG-0669"/>
    <s v="JALAN R. A. FADILLAH"/>
    <s v="Jalan R. A. Fadillah"/>
    <s v="NEW MCP NON FO"/>
    <s v="STIP 1"/>
    <s v="XL"/>
    <x v="0"/>
    <n v="2020"/>
    <s v="018422/TBG-TB/XL/MKT/01/2020"/>
    <d v="2020-01-14T00:00:00"/>
    <s v="-6.317092"/>
    <s v="106.85829"/>
    <m/>
    <s v="JABODETABEK (INNER)"/>
    <x v="3"/>
    <s v="DKI JAKARTA"/>
    <n v="20"/>
    <s v="PT. KARYA LINTAS SEJAHTERA"/>
    <x v="1"/>
    <m/>
    <m/>
    <m/>
    <n v="20"/>
    <m/>
    <m/>
    <m/>
    <m/>
    <s v="POLE"/>
    <s v="GF"/>
    <s v="DONE"/>
    <x v="1"/>
    <e v="#VALUE!"/>
    <x v="3"/>
    <n v="367"/>
    <s v="DONE"/>
    <x v="1"/>
    <m/>
    <x v="1"/>
    <s v="RFC"/>
    <s v="RFC_x000a_[5.1.21] Submit PKS ke Legal, deviasi OG_x000a_[9.12.20] Waiting Review PKS"/>
    <s v="Update TSSR di TBG Sys"/>
    <s v="PKS Done Review, Finishing PKS"/>
  </r>
  <r>
    <s v="0030572180031"/>
    <s v="1317501003"/>
    <s v="JAW-BT-CPT-0476"/>
    <s v="PONDOK CABE RAYA"/>
    <s v="Pondok Cabe Raya"/>
    <s v="NEW MCP NON FO"/>
    <s v="STIP 1"/>
    <s v="XL"/>
    <x v="0"/>
    <n v="2020"/>
    <s v="018403/TBG-TB/XL/MKT/01/2020"/>
    <d v="2020-01-14T00:00:00"/>
    <s v="-6.331283"/>
    <s v="106.766244"/>
    <m/>
    <s v="JABODETABEK (OUTER)"/>
    <x v="6"/>
    <s v="BANTEN"/>
    <n v="20"/>
    <s v="PT. BANJARPASIR NUSA PRATAMA"/>
    <x v="1"/>
    <s v="B"/>
    <n v="-6.3308400000000002"/>
    <n v="106.76953"/>
    <n v="20"/>
    <n v="20"/>
    <d v="2020-10-08T00:00:00"/>
    <n v="19"/>
    <d v="2020-11-24T00:00:00"/>
    <s v="POLE"/>
    <s v="GF"/>
    <s v="DONE"/>
    <x v="1"/>
    <e v="#VALUE!"/>
    <x v="1"/>
    <n v="311"/>
    <s v="DONE"/>
    <x v="0"/>
    <m/>
    <x v="1"/>
    <s v="RFC"/>
    <s v="RFC"/>
    <m/>
    <m/>
  </r>
  <r>
    <s v="0030572080031"/>
    <s v="1317441003"/>
    <s v="JAW-BT-TNG-1458"/>
    <s v="TAMAN GOLF BOULEVARD"/>
    <s v="Taman Golf Boulevard"/>
    <s v="NEW MCP NON FO"/>
    <s v="STIP 1"/>
    <s v="XL"/>
    <x v="0"/>
    <n v="2020"/>
    <s v="018393/TBG-TB/XL/MKT/01/2020"/>
    <d v="2020-01-14T00:00:00"/>
    <s v="-6.193476"/>
    <s v="106.649175"/>
    <m/>
    <s v="JABODETABEK (INNER)"/>
    <x v="8"/>
    <s v="BANTEN"/>
    <n v="35"/>
    <s v="PT. BANJARPASIR NUSA PRATAMA"/>
    <x v="1"/>
    <s v="C"/>
    <n v="-6.1927599999999998"/>
    <n v="106.64957"/>
    <n v="20"/>
    <n v="20"/>
    <d v="2020-11-11T00:00:00"/>
    <n v="20"/>
    <d v="2020-11-24T00:00:00"/>
    <s v="POLE"/>
    <s v="GF"/>
    <s v="DONE"/>
    <x v="1"/>
    <e v="#VALUE!"/>
    <x v="4"/>
    <n v="381"/>
    <s v="DONE"/>
    <x v="1"/>
    <m/>
    <x v="1"/>
    <s v="RFC"/>
    <s v="RFC_x000a_[10.12.20] PKS TTD pihak TBG_x000a_[9.12.20] Rekom Camat NY"/>
    <m/>
    <s v="IMB Expired, Rekom Camat NY, menunggu SKRD"/>
  </r>
  <r>
    <s v="0030572590031"/>
    <s v="1317781003"/>
    <s v="JAW-BT-TNG-1467"/>
    <s v="JL INDUSTRI JATAKE"/>
    <s v="JL INDUSTRI JATAKE"/>
    <s v="NEW MCP NON FO"/>
    <s v="STIP 1"/>
    <s v="XL"/>
    <x v="0"/>
    <n v="2020"/>
    <s v="018444/TBG-TB/XL/MKT/01/2020"/>
    <d v="2020-01-14T00:00:00"/>
    <s v="-6.198783"/>
    <s v="106.567911"/>
    <m/>
    <s v="JABODETABEK (INNER)"/>
    <x v="8"/>
    <s v="BANTEN"/>
    <n v="35"/>
    <s v="PT. ROTUA"/>
    <x v="3"/>
    <m/>
    <m/>
    <m/>
    <n v="20"/>
    <m/>
    <m/>
    <m/>
    <m/>
    <s v="POLE"/>
    <s v="GF"/>
    <d v="2021-01-06T00:00:00"/>
    <x v="0"/>
    <d v="2021-02-05T00:00:00"/>
    <x v="0"/>
    <n v="700"/>
    <m/>
    <x v="0"/>
    <m/>
    <x v="0"/>
    <s v="Re-Hunting"/>
    <m/>
    <m/>
    <m/>
  </r>
  <r>
    <s v="0030572600031"/>
    <s v="1317791003"/>
    <s v="JAW-BT-TNG-1468"/>
    <s v="KARANGSARI NEGLASARI"/>
    <s v="KARANGSARI NEGLASARI"/>
    <s v="NEW MCP NON FO"/>
    <s v="STIP 1"/>
    <s v="XL"/>
    <x v="0"/>
    <n v="2020"/>
    <s v="018445/TBG-TB/XL/MKT/01/2020"/>
    <d v="2020-01-14T00:00:00"/>
    <s v="-6.158613"/>
    <s v="106.636761"/>
    <m/>
    <s v="JABODETABEK (INNER)"/>
    <x v="8"/>
    <s v="BANTEN"/>
    <n v="35"/>
    <m/>
    <x v="0"/>
    <m/>
    <m/>
    <m/>
    <m/>
    <m/>
    <m/>
    <m/>
    <m/>
    <s v="POLE"/>
    <s v="GF"/>
    <d v="2021-01-06T00:00:00"/>
    <x v="0"/>
    <d v="2021-02-05T00:00:00"/>
    <x v="0"/>
    <n v="700"/>
    <m/>
    <x v="0"/>
    <m/>
    <x v="0"/>
    <s v="Re-Hunting"/>
    <m/>
    <m/>
    <m/>
  </r>
  <r>
    <s v="0030572620031"/>
    <s v="1317811003"/>
    <s v="JAW-BT-TGR-0061"/>
    <s v="JL TELESONIC PASIRJAYA"/>
    <s v="JL TELESONIC PASIRJAYA"/>
    <s v="NEW BUILD"/>
    <s v="STIP 1"/>
    <s v="XL"/>
    <x v="0"/>
    <n v="2020"/>
    <s v="018447/TBG-TB/XL/MKT/01/2020"/>
    <d v="2020-01-14T00:00:00"/>
    <s v="-6.20141"/>
    <s v="106.558209"/>
    <m/>
    <s v="JABODETABEK (INNER)"/>
    <x v="8"/>
    <s v="BANTEN"/>
    <n v="35"/>
    <s v="SS"/>
    <x v="2"/>
    <m/>
    <m/>
    <m/>
    <m/>
    <m/>
    <m/>
    <m/>
    <m/>
    <s v="SST"/>
    <s v="GF"/>
    <d v="2021-01-06T00:00:00"/>
    <x v="0"/>
    <d v="2021-02-05T00:00:00"/>
    <x v="0"/>
    <n v="700"/>
    <m/>
    <x v="0"/>
    <m/>
    <x v="0"/>
    <s v="Re-Hunting"/>
    <m/>
    <m/>
    <m/>
  </r>
  <r>
    <s v="0030572010031"/>
    <s v="1317401003"/>
    <s v="JAW-BT-TGR-0022"/>
    <s v="TAMAN KOTA TANGERANG"/>
    <s v="Taman Kota Tangerang"/>
    <s v="NEW BUILD"/>
    <s v="STIP 1"/>
    <s v="XL"/>
    <x v="0"/>
    <n v="2020"/>
    <s v="018386/TBG-TB/XL/MKT/01/2020"/>
    <d v="2020-01-14T00:00:00"/>
    <s v="-6.269968"/>
    <s v="106.485605"/>
    <m/>
    <s v="JABODETABEK (OUTER)"/>
    <x v="1"/>
    <s v="BANTEN"/>
    <n v="35"/>
    <m/>
    <x v="0"/>
    <m/>
    <m/>
    <m/>
    <m/>
    <m/>
    <m/>
    <m/>
    <m/>
    <s v="SST"/>
    <s v="GF"/>
    <d v="2021-01-06T00:00:00"/>
    <x v="0"/>
    <d v="2021-02-05T00:00:00"/>
    <x v="0"/>
    <n v="700"/>
    <m/>
    <x v="0"/>
    <m/>
    <x v="0"/>
    <s v="Re-Hunting"/>
    <s v="[4.12.20] Submit permohonan perijinan PEMDA TANGKOT"/>
    <m/>
    <m/>
  </r>
  <r>
    <s v="0030572500031"/>
    <s v="1317691003"/>
    <s v="JAW-BT-CPT-0472"/>
    <s v="WIJAYAKUSUMA CEGER"/>
    <s v="Wijaya Kusuma Ceger"/>
    <s v="NEW MCP NON FO"/>
    <s v="STIP 1"/>
    <s v="XL"/>
    <x v="0"/>
    <n v="2020"/>
    <s v="018435/TBG-TB/XL/MKT/01/2020"/>
    <d v="2020-01-14T00:00:00"/>
    <s v="-6.26192"/>
    <s v="106.72722"/>
    <m/>
    <s v="JABODETABEK (OUTER)"/>
    <x v="6"/>
    <s v="BANTEN"/>
    <n v="25"/>
    <s v="PT. TURANGGA EMPAT TIGA"/>
    <x v="0"/>
    <s v="D"/>
    <n v="-6.26119"/>
    <n v="106.73702"/>
    <n v="20"/>
    <m/>
    <m/>
    <m/>
    <m/>
    <s v="MCP"/>
    <s v="GF"/>
    <s v="DONE"/>
    <x v="1"/>
    <s v="26 Maret 2021"/>
    <x v="5"/>
    <n v="427"/>
    <s v="DONE"/>
    <x v="1"/>
    <m/>
    <x v="1"/>
    <s v="RFC"/>
    <s v="[12.3.21] Rekom LC done, paralel submit system_x000a_[4.3.21] Eskalasi done approve, go realisasi. Rekom LC 8/9 Maret_x000a_[2.3.21] Approval eskalasi SITAC_x000a_[23.2.21] Cancel PO SITAC Turangga_x000a_[21.2.21] IW OG, waiting eskalasi Submit by mitra_x000a_[15.1.21] IW OG_x000a_[4.12.20] mendapatkan harga sewa lahan"/>
    <m/>
    <m/>
  </r>
  <r>
    <s v="0010587980011"/>
    <s v="1128331001"/>
    <s v="JUX570"/>
    <s v="PERMANENCOMBATRUSUNMARUNDA"/>
    <s v="PERMANENCOMBATRUSUNMARUNDA"/>
    <s v="NEW MCP NON FO"/>
    <s v="STIP 1"/>
    <s v="TSEL"/>
    <x v="0"/>
    <d v="2020-03-20T00:00:00"/>
    <s v="021471/TBG-TB/TSEL/MKT/03/2020"/>
    <d v="2020-03-20T00:00:00"/>
    <s v="-6.0955"/>
    <s v="106.9645"/>
    <m/>
    <s v="JABODETABEK (INNER)"/>
    <x v="10"/>
    <s v="DKI JAKARTA"/>
    <n v="20"/>
    <m/>
    <x v="0"/>
    <m/>
    <m/>
    <m/>
    <n v="20"/>
    <m/>
    <m/>
    <m/>
    <m/>
    <m/>
    <m/>
    <e v="#N/A"/>
    <x v="2"/>
    <e v="#N/A"/>
    <x v="0"/>
    <n v="634"/>
    <m/>
    <x v="0"/>
    <m/>
    <x v="1"/>
    <s v="BAN/BAK"/>
    <m/>
    <m/>
    <m/>
  </r>
  <r>
    <s v="0030594960031"/>
    <n v="1318231003"/>
    <s v="JAW-BT-CPT-0447"/>
    <s v="JALAN MENTAWAI TOL"/>
    <s v="Jalan Mentawai Tol"/>
    <s v="NEW MCP NON FO"/>
    <s v="STIP 1"/>
    <s v="XL"/>
    <x v="0"/>
    <n v="2020"/>
    <s v="023435/TBG-TB/XL/MKT/06/2020"/>
    <d v="2020-06-24T00:00:00"/>
    <s v="-6.300262"/>
    <s v="106.695322"/>
    <m/>
    <s v="JABODETABEK (OUTER)"/>
    <x v="6"/>
    <s v="BANTEN"/>
    <n v="20"/>
    <s v="PT. BANJARPASIR NUSA PRATAMA"/>
    <x v="3"/>
    <s v="B"/>
    <n v="-6.2997699999999996"/>
    <n v="106.69607000000001"/>
    <n v="20"/>
    <m/>
    <m/>
    <m/>
    <m/>
    <s v="POLE"/>
    <s v="GF"/>
    <s v="DONE"/>
    <x v="1"/>
    <e v="#VALUE!"/>
    <x v="1"/>
    <n v="149"/>
    <s v="DONE"/>
    <x v="0"/>
    <m/>
    <x v="1"/>
    <s v="RFC"/>
    <s v="RFC"/>
    <m/>
    <m/>
  </r>
  <r>
    <s v="0030572030031"/>
    <s v="1317421003"/>
    <s v="JAW-BT-TNG-1457"/>
    <s v="KEDAUNG WETAN NEGLASARI"/>
    <s v="Kedaung Wetan Neglasari"/>
    <s v="NEW MCP NON FO"/>
    <s v="STIP 1"/>
    <s v="XL"/>
    <x v="0"/>
    <d v="2020-01-14T00:00:00"/>
    <s v="018388/TBG-TB/XL/MKT/01/2020"/>
    <d v="2020-01-14T00:00:00"/>
    <s v="-6.125174"/>
    <s v="-6.125174"/>
    <m/>
    <s v="JABODETABEK (INNER)"/>
    <x v="8"/>
    <s v="BANTEN"/>
    <n v="35"/>
    <m/>
    <x v="0"/>
    <m/>
    <m/>
    <m/>
    <s v="35"/>
    <m/>
    <m/>
    <m/>
    <m/>
    <m/>
    <m/>
    <d v="2021-01-06T00:00:00"/>
    <x v="0"/>
    <d v="2021-02-05T00:00:00"/>
    <x v="0"/>
    <n v="700"/>
    <m/>
    <x v="0"/>
    <m/>
    <x v="0"/>
    <m/>
    <m/>
    <m/>
    <m/>
  </r>
  <r>
    <s v="0030572060031"/>
    <s v="1127781003"/>
    <s v="JAW-JK-TJP-0627"/>
    <s v="PADEMANGAN TANJUNG PRIOK"/>
    <s v="Pademangan Tanjung Priok"/>
    <s v="NEW MCP NON FO"/>
    <s v="STIP 1"/>
    <s v="XL"/>
    <x v="0"/>
    <d v="2020-01-14T00:00:00"/>
    <s v="018391/TBG-TB/XL/MKT/01/2020"/>
    <d v="2020-01-14T00:00:00"/>
    <s v="-6.121079"/>
    <s v="-6.121079"/>
    <m/>
    <s v="JABODETABEK (INNER)"/>
    <x v="10"/>
    <s v="DKI JAKARTA"/>
    <n v="20"/>
    <m/>
    <x v="0"/>
    <m/>
    <m/>
    <m/>
    <s v="20"/>
    <m/>
    <m/>
    <m/>
    <m/>
    <m/>
    <m/>
    <d v="2021-01-06T00:00:00"/>
    <x v="0"/>
    <d v="2021-02-05T00:00:00"/>
    <x v="0"/>
    <n v="700"/>
    <m/>
    <x v="0"/>
    <m/>
    <x v="0"/>
    <m/>
    <m/>
    <m/>
    <m/>
  </r>
  <r>
    <s v="0030572450031"/>
    <s v="1317641003"/>
    <s v="JAW-BT-CPT-0464"/>
    <s v="MENTENG BINTARO"/>
    <s v="MENTENG BINTARO"/>
    <s v="NEW MCP NON FO"/>
    <s v="STIP 1"/>
    <s v="XL"/>
    <x v="0"/>
    <d v="2020-01-14T00:00:00"/>
    <s v="018430/TBG-TB/XL/MKT/01/2020"/>
    <d v="2020-01-14T00:00:00"/>
    <s v="-6.27837"/>
    <s v="-6.27837"/>
    <m/>
    <s v="JABODETABEK (OUTER)"/>
    <x v="6"/>
    <s v="BANTEN"/>
    <n v="35"/>
    <m/>
    <x v="0"/>
    <m/>
    <m/>
    <m/>
    <s v="35"/>
    <m/>
    <m/>
    <m/>
    <m/>
    <m/>
    <m/>
    <d v="2021-01-06T00:00:00"/>
    <x v="0"/>
    <d v="2021-02-05T00:00:00"/>
    <x v="0"/>
    <n v="700"/>
    <m/>
    <x v="0"/>
    <m/>
    <x v="0"/>
    <m/>
    <m/>
    <m/>
    <m/>
  </r>
  <r>
    <s v="0230575230231"/>
    <s v="1261051023"/>
    <s v="ZBGR_4328"/>
    <s v="BOJONGGEDE_BOGOR"/>
    <s v="BOJONGGEDE_BOGOR"/>
    <s v="NEW BUILD"/>
    <s v="STIP 1"/>
    <s v="SMART8"/>
    <x v="0"/>
    <d v="2020-01-28T00:00:00"/>
    <s v="019275/TBG-TB/SMART8/MKT/01/2020"/>
    <d v="2020-01-28T00:00:00"/>
    <s v="-6.487618"/>
    <s v="-6.487618"/>
    <m/>
    <s v="JABODETABEK (OUTER)"/>
    <x v="5"/>
    <s v="JAWA BARAT"/>
    <n v="35"/>
    <m/>
    <x v="0"/>
    <m/>
    <m/>
    <m/>
    <s v="35"/>
    <m/>
    <m/>
    <m/>
    <m/>
    <m/>
    <m/>
    <d v="2021-01-06T00:00:00"/>
    <x v="0"/>
    <d v="2021-02-05T00:00:00"/>
    <x v="0"/>
    <n v="686"/>
    <m/>
    <x v="0"/>
    <m/>
    <x v="0"/>
    <m/>
    <m/>
    <m/>
    <m/>
  </r>
  <r>
    <s v="0230575270231"/>
    <s v="1261071023"/>
    <s v="ZJKT2_4181"/>
    <s v="CIMANGGIS DEPOK 162"/>
    <s v="CIMANGGIS DEPOK 162"/>
    <s v="NEW BUILD"/>
    <s v="STIP 1"/>
    <s v="SMART8"/>
    <x v="0"/>
    <d v="2020-01-28T00:00:00"/>
    <s v="019279/TBG-TB/SMART8/MKT/01/2020"/>
    <d v="2020-01-28T00:00:00"/>
    <s v="-6.372332"/>
    <s v="-6.372332"/>
    <m/>
    <s v="JABODETABEK (INNER)"/>
    <x v="0"/>
    <s v="JAWA BARAT"/>
    <n v="35"/>
    <m/>
    <x v="0"/>
    <m/>
    <m/>
    <m/>
    <s v="35"/>
    <m/>
    <m/>
    <m/>
    <m/>
    <m/>
    <m/>
    <d v="2021-01-06T00:00:00"/>
    <x v="0"/>
    <d v="2021-02-05T00:00:00"/>
    <x v="0"/>
    <n v="686"/>
    <m/>
    <x v="0"/>
    <m/>
    <x v="0"/>
    <m/>
    <m/>
    <m/>
    <m/>
  </r>
  <r>
    <s v="0230575300231"/>
    <s v="1261091023"/>
    <s v="ZJKT2_4968"/>
    <s v="BEKASI UTARA"/>
    <s v="BEKASI UTARA"/>
    <s v="NEW BUILD"/>
    <s v="STIP 1"/>
    <s v="SMART8"/>
    <x v="0"/>
    <d v="2020-01-28T00:00:00"/>
    <s v="019282/TBG-TB/SMART8/MKT/01/2020"/>
    <d v="2020-01-28T00:00:00"/>
    <s v="-6.228204"/>
    <s v="-6.228204"/>
    <m/>
    <s v="JABODETABEK (OUTER)"/>
    <x v="7"/>
    <s v="JAWA BARAT"/>
    <n v="35"/>
    <m/>
    <x v="0"/>
    <m/>
    <m/>
    <m/>
    <s v="35"/>
    <m/>
    <m/>
    <m/>
    <m/>
    <m/>
    <m/>
    <d v="2021-01-06T00:00:00"/>
    <x v="0"/>
    <d v="2021-02-05T00:00:00"/>
    <x v="0"/>
    <n v="686"/>
    <m/>
    <x v="0"/>
    <m/>
    <x v="0"/>
    <m/>
    <m/>
    <m/>
    <m/>
  </r>
  <r>
    <s v="0230575320231"/>
    <s v="1317881023"/>
    <s v="ZJKT2_5056"/>
    <s v="PASARKEMIS TANGERANG"/>
    <s v="PASARKEMIS TANGERANG"/>
    <s v="NEW BUILD"/>
    <s v="STIP 1"/>
    <s v="SMART8"/>
    <x v="0"/>
    <d v="2020-01-28T00:00:00"/>
    <s v="019284/TBG-TB/SMART8/MKT/01/2020"/>
    <d v="2020-01-28T00:00:00"/>
    <s v="-6.163653"/>
    <s v="-6.163653"/>
    <m/>
    <s v="JABODETABEK (OUTER)"/>
    <x v="1"/>
    <s v="BANTEN"/>
    <n v="30"/>
    <m/>
    <x v="0"/>
    <m/>
    <m/>
    <m/>
    <s v="30"/>
    <m/>
    <m/>
    <m/>
    <m/>
    <m/>
    <m/>
    <d v="2021-01-06T00:00:00"/>
    <x v="0"/>
    <d v="2021-02-05T00:00:00"/>
    <x v="0"/>
    <n v="686"/>
    <m/>
    <x v="0"/>
    <m/>
    <x v="0"/>
    <m/>
    <m/>
    <m/>
    <m/>
  </r>
  <r>
    <s v="0230575330231"/>
    <s v="1261101023"/>
    <s v="ZJKT2_5192"/>
    <s v="CIMANGGIS DEPOK 025"/>
    <s v="CIMANGGIS DEPOK 025"/>
    <s v="NEW BUILD"/>
    <s v="STIP 1"/>
    <s v="SMART8"/>
    <x v="0"/>
    <d v="2020-01-28T00:00:00"/>
    <s v="019285/TBG-TB/SMART8/MKT/01/2020"/>
    <d v="2020-01-28T00:00:00"/>
    <s v="-6.356348"/>
    <s v="-6.356348"/>
    <m/>
    <s v="JABODETABEK (INNER)"/>
    <x v="0"/>
    <s v="JAWA BARAT"/>
    <n v="32"/>
    <m/>
    <x v="0"/>
    <m/>
    <m/>
    <m/>
    <s v="32"/>
    <m/>
    <m/>
    <m/>
    <m/>
    <m/>
    <m/>
    <d v="2021-01-06T00:00:00"/>
    <x v="0"/>
    <d v="2021-02-05T00:00:00"/>
    <x v="0"/>
    <n v="686"/>
    <m/>
    <x v="0"/>
    <m/>
    <x v="0"/>
    <m/>
    <m/>
    <m/>
    <m/>
  </r>
  <r>
    <s v="0230579860231"/>
    <s v="1128021023"/>
    <s v="ZJKT2_6011"/>
    <s v="LUBANG BUAYA CIPAYUNG"/>
    <s v="Lubang Buaya Cipayung"/>
    <s v="NEW MCP NON FO"/>
    <s v="STIP 1"/>
    <s v="SMART8"/>
    <x v="0"/>
    <n v="2020"/>
    <s v="019763/TBG-TB/SMART8/MKT/02/2020"/>
    <d v="2020-02-10T00:00:00"/>
    <s v="-6.294797"/>
    <s v="106.896936"/>
    <m/>
    <s v="JABODETABEK (INNER)"/>
    <x v="3"/>
    <s v="DKI JAKARTA"/>
    <n v="20"/>
    <s v="TBG IN HOUSE"/>
    <x v="0"/>
    <m/>
    <m/>
    <m/>
    <m/>
    <m/>
    <m/>
    <m/>
    <m/>
    <s v="MONOPOLE"/>
    <s v="GF"/>
    <d v="2021-01-06T00:00:00"/>
    <x v="0"/>
    <d v="2021-02-05T00:00:00"/>
    <x v="0"/>
    <n v="673"/>
    <m/>
    <x v="0"/>
    <m/>
    <x v="0"/>
    <m/>
    <m/>
    <m/>
    <m/>
  </r>
  <r>
    <s v="0230579370231"/>
    <s v="1317901023"/>
    <s v="ZJKT2_6083"/>
    <s v="KUTA JAYA PASARKEMIS"/>
    <s v="Kuta Jaya Pasarkemis"/>
    <s v="NEW BUILD"/>
    <s v="STIP 1"/>
    <s v="SMART8"/>
    <x v="0"/>
    <d v="2020-02-10T00:00:00"/>
    <s v="019714/TBG-TB/SMART8/MKT/02/2020"/>
    <d v="2020-02-10T00:00:00"/>
    <s v="-6.163851"/>
    <s v="-6.163851"/>
    <m/>
    <s v="JABODETABEK (OUTER)"/>
    <x v="1"/>
    <s v="BANTEN"/>
    <n v="42"/>
    <m/>
    <x v="0"/>
    <m/>
    <m/>
    <m/>
    <s v="42"/>
    <m/>
    <m/>
    <m/>
    <m/>
    <m/>
    <m/>
    <d v="2021-01-06T00:00:00"/>
    <x v="0"/>
    <d v="2021-02-05T00:00:00"/>
    <x v="0"/>
    <n v="673"/>
    <m/>
    <x v="0"/>
    <m/>
    <x v="0"/>
    <m/>
    <m/>
    <m/>
    <m/>
  </r>
  <r>
    <s v="0230579380231"/>
    <s v="1261131023"/>
    <s v="ZJKT2_6073"/>
    <s v="SUKAASIH SUKATANI"/>
    <s v="Sukaasih Sukatani"/>
    <s v="NEW BUILD"/>
    <s v="STIP 1"/>
    <s v="SMART8"/>
    <x v="0"/>
    <d v="2020-02-10T00:00:00"/>
    <s v="019715/TBG-TB/SMART8/MKT/02/2020"/>
    <d v="2020-02-10T00:00:00"/>
    <s v="-6.221338"/>
    <s v="-6.221338"/>
    <m/>
    <s v="JABODETABEK (OUTER)"/>
    <x v="11"/>
    <s v="JAWA BARAT"/>
    <n v="42"/>
    <m/>
    <x v="0"/>
    <m/>
    <m/>
    <m/>
    <s v="42"/>
    <m/>
    <m/>
    <m/>
    <m/>
    <m/>
    <m/>
    <d v="2021-01-06T00:00:00"/>
    <x v="0"/>
    <d v="2021-02-05T00:00:00"/>
    <x v="0"/>
    <n v="673"/>
    <m/>
    <x v="0"/>
    <m/>
    <x v="0"/>
    <m/>
    <m/>
    <m/>
    <m/>
  </r>
  <r>
    <s v="0230579410231"/>
    <s v="1261141023"/>
    <s v="ZJKT2_6061"/>
    <s v="CIBATU CIKARANG SELATAN"/>
    <s v="Cibatu Cikarang Selatan"/>
    <s v="NEW BUILD"/>
    <s v="STIP 1"/>
    <s v="SMART8"/>
    <x v="0"/>
    <d v="2020-02-10T00:00:00"/>
    <s v="019718/TBG-TB/SMART8/MKT/02/2020"/>
    <d v="2020-02-10T00:00:00"/>
    <s v="-6.338886"/>
    <s v="-6.338886"/>
    <m/>
    <s v="JABODETABEK (OUTER)"/>
    <x v="11"/>
    <s v="JAWA BARAT"/>
    <n v="42"/>
    <m/>
    <x v="0"/>
    <m/>
    <m/>
    <m/>
    <s v="42"/>
    <m/>
    <m/>
    <m/>
    <m/>
    <m/>
    <m/>
    <d v="2021-01-06T00:00:00"/>
    <x v="0"/>
    <d v="2021-02-05T00:00:00"/>
    <x v="0"/>
    <n v="673"/>
    <m/>
    <x v="0"/>
    <m/>
    <x v="0"/>
    <m/>
    <m/>
    <m/>
    <m/>
  </r>
  <r>
    <s v="0230579440231"/>
    <s v="1261151023"/>
    <s v="ZJKT2_6058"/>
    <s v="PASIRSARI CIKARANG SELATAN"/>
    <s v="Pasirsari Cikarang Selatan"/>
    <s v="NEW BUILD"/>
    <s v="STIP 1"/>
    <s v="SMART8"/>
    <x v="0"/>
    <d v="2020-02-10T00:00:00"/>
    <s v="019721/TBG-TB/SMART8/MKT/02/2020"/>
    <d v="2020-02-10T00:00:00"/>
    <s v="-6.307019"/>
    <s v="-6.307019"/>
    <m/>
    <s v="JABODETABEK (OUTER)"/>
    <x v="11"/>
    <s v="JAWA BARAT"/>
    <n v="42"/>
    <m/>
    <x v="0"/>
    <m/>
    <m/>
    <m/>
    <s v="42"/>
    <m/>
    <m/>
    <m/>
    <m/>
    <m/>
    <m/>
    <d v="2021-01-06T00:00:00"/>
    <x v="0"/>
    <d v="2021-02-05T00:00:00"/>
    <x v="0"/>
    <n v="673"/>
    <m/>
    <x v="0"/>
    <m/>
    <x v="0"/>
    <m/>
    <m/>
    <m/>
    <m/>
  </r>
  <r>
    <s v="0230579450231"/>
    <s v="1261161023"/>
    <s v="ZJKT2_6053"/>
    <s v="CIKEDOKAN CIKARANG BARAT"/>
    <s v="Cikedokan Cikarang Barat"/>
    <s v="NEW BUILD"/>
    <s v="STIP 1"/>
    <s v="SMART8"/>
    <x v="0"/>
    <d v="2020-02-10T00:00:00"/>
    <s v="019722/TBG-TB/SMART8/MKT/02/2020"/>
    <d v="2020-02-10T00:00:00"/>
    <s v="-6.328378"/>
    <s v="-6.328378"/>
    <m/>
    <s v="JABODETABEK (OUTER)"/>
    <x v="11"/>
    <s v="JAWA BARAT"/>
    <n v="42"/>
    <m/>
    <x v="0"/>
    <m/>
    <m/>
    <m/>
    <s v="42"/>
    <m/>
    <m/>
    <m/>
    <m/>
    <m/>
    <m/>
    <d v="2021-01-06T00:00:00"/>
    <x v="0"/>
    <d v="2021-02-05T00:00:00"/>
    <x v="0"/>
    <n v="673"/>
    <m/>
    <x v="0"/>
    <m/>
    <x v="0"/>
    <m/>
    <m/>
    <m/>
    <m/>
  </r>
  <r>
    <s v="0230579480231"/>
    <s v="1261171023"/>
    <s v="ZJKT2_6052"/>
    <s v="GANDAMEKAR CIKARANG BARAT"/>
    <s v="Gandamekar Cikarang Barat"/>
    <s v="NEW BUILD"/>
    <s v="STIP 1"/>
    <s v="SMART8"/>
    <x v="0"/>
    <d v="2020-02-10T00:00:00"/>
    <s v="019725/TBG-TB/SMART8/MKT/02/2020"/>
    <d v="2020-02-10T00:00:00"/>
    <s v="-6.294671"/>
    <s v="-6.294671"/>
    <m/>
    <s v="JABODETABEK (OUTER)"/>
    <x v="11"/>
    <s v="JAWA BARAT"/>
    <n v="42"/>
    <m/>
    <x v="0"/>
    <m/>
    <m/>
    <m/>
    <s v="42"/>
    <m/>
    <m/>
    <m/>
    <m/>
    <m/>
    <m/>
    <d v="2021-01-06T00:00:00"/>
    <x v="0"/>
    <d v="2021-02-05T00:00:00"/>
    <x v="0"/>
    <n v="673"/>
    <m/>
    <x v="0"/>
    <m/>
    <x v="0"/>
    <m/>
    <m/>
    <m/>
    <m/>
  </r>
  <r>
    <s v="0230579500231"/>
    <s v="1261191023"/>
    <s v="ZBGR_4676"/>
    <s v="KEBONKELAPA BOGOR TENGAH"/>
    <s v="Kebonkelapa Bogor Tengah"/>
    <s v="NEW BUILD"/>
    <s v="STIP 1"/>
    <s v="SMART8"/>
    <x v="0"/>
    <d v="2020-02-10T00:00:00"/>
    <s v="019727/TBG-TB/SMART8/MKT/02/2020"/>
    <d v="2020-02-10T00:00:00"/>
    <s v="-6.591009"/>
    <s v="-6.591009"/>
    <m/>
    <s v="JABODETABEK (OUTER)"/>
    <x v="12"/>
    <s v="JAWA BARAT"/>
    <n v="32"/>
    <m/>
    <x v="0"/>
    <m/>
    <m/>
    <m/>
    <s v="32"/>
    <m/>
    <m/>
    <m/>
    <m/>
    <m/>
    <m/>
    <d v="2021-01-06T00:00:00"/>
    <x v="0"/>
    <d v="2021-02-05T00:00:00"/>
    <x v="0"/>
    <n v="673"/>
    <m/>
    <x v="0"/>
    <m/>
    <x v="0"/>
    <m/>
    <m/>
    <m/>
    <m/>
  </r>
  <r>
    <s v="0230579530231"/>
    <s v="1261201023"/>
    <s v="ZBGR_4675"/>
    <s v="SITU ILIR CIBUNGBULANG"/>
    <s v="Situ Ilir Cibungbulang"/>
    <s v="NEW BUILD"/>
    <s v="STIP 1"/>
    <s v="SMART8"/>
    <x v="0"/>
    <d v="2020-02-10T00:00:00"/>
    <s v="019730/TBG-TB/SMART8/MKT/02/2020"/>
    <d v="2020-02-10T00:00:00"/>
    <s v="-6.604124"/>
    <s v="-6.604124"/>
    <m/>
    <s v="JABODETABEK (OUTER)"/>
    <x v="5"/>
    <s v="JAWA BARAT"/>
    <n v="42"/>
    <m/>
    <x v="0"/>
    <m/>
    <m/>
    <m/>
    <s v="42"/>
    <m/>
    <m/>
    <m/>
    <m/>
    <m/>
    <m/>
    <d v="2021-01-06T00:00:00"/>
    <x v="0"/>
    <d v="2021-02-05T00:00:00"/>
    <x v="0"/>
    <n v="673"/>
    <m/>
    <x v="0"/>
    <m/>
    <x v="0"/>
    <m/>
    <m/>
    <m/>
    <m/>
  </r>
  <r>
    <s v="0230579590231"/>
    <s v="1261221023"/>
    <s v="ZJKT2_5964"/>
    <s v="MANGUNJAYA TAMBUN SELATAN"/>
    <s v="Mangunjaya Tambun Selatan"/>
    <s v="NEW BUILD"/>
    <s v="STIP 1"/>
    <s v="SMART8"/>
    <x v="0"/>
    <d v="2020-02-10T00:00:00"/>
    <s v="019736/TBG-TB/SMART8/MKT/02/2020"/>
    <d v="2020-02-10T00:00:00"/>
    <s v="-6.24255"/>
    <s v="-6.24255"/>
    <m/>
    <s v="JABODETABEK (OUTER)"/>
    <x v="11"/>
    <s v="JAWA BARAT"/>
    <n v="42"/>
    <m/>
    <x v="0"/>
    <m/>
    <m/>
    <m/>
    <s v="42"/>
    <m/>
    <m/>
    <m/>
    <m/>
    <m/>
    <m/>
    <d v="2021-01-06T00:00:00"/>
    <x v="0"/>
    <d v="2021-02-05T00:00:00"/>
    <x v="0"/>
    <n v="673"/>
    <m/>
    <x v="0"/>
    <m/>
    <x v="0"/>
    <m/>
    <m/>
    <m/>
    <m/>
  </r>
  <r>
    <s v="0230579610231"/>
    <s v="1261231023"/>
    <s v="ZJKT2_5956"/>
    <s v="BAHAGIA BABELAN"/>
    <s v="Bahagia Babelan"/>
    <s v="NEW BUILD"/>
    <s v="STIP 1"/>
    <s v="SMART8"/>
    <x v="0"/>
    <d v="2020-02-10T00:00:00"/>
    <s v="019738/TBG-TB/SMART8/MKT/02/2020"/>
    <d v="2020-02-10T00:00:00"/>
    <s v="-6.17631"/>
    <s v="-6.17631"/>
    <m/>
    <s v="JABODETABEK (OUTER)"/>
    <x v="11"/>
    <s v="JAWA BARAT"/>
    <n v="42"/>
    <m/>
    <x v="0"/>
    <m/>
    <m/>
    <m/>
    <s v="42"/>
    <m/>
    <m/>
    <m/>
    <m/>
    <m/>
    <m/>
    <d v="2021-01-06T00:00:00"/>
    <x v="0"/>
    <d v="2021-02-05T00:00:00"/>
    <x v="0"/>
    <n v="673"/>
    <m/>
    <x v="0"/>
    <m/>
    <x v="0"/>
    <m/>
    <m/>
    <m/>
    <m/>
  </r>
  <r>
    <s v="0230579620231"/>
    <s v="1261241023"/>
    <s v="ZJKT2_5953"/>
    <s v="PAHLAWAN SETIA TARUMAJAYA"/>
    <s v="Pahlawan Setia Tarumajaya"/>
    <s v="NEW BUILD"/>
    <s v="STIP 1"/>
    <s v="SMART8"/>
    <x v="0"/>
    <d v="2020-02-10T00:00:00"/>
    <s v="019739/TBG-TB/SMART8/MKT/02/2020"/>
    <d v="2020-02-10T00:00:00"/>
    <s v="-6.13007"/>
    <s v="-6.13007"/>
    <m/>
    <s v="JABODETABEK (OUTER)"/>
    <x v="11"/>
    <s v="JAWA BARAT"/>
    <n v="42"/>
    <m/>
    <x v="0"/>
    <m/>
    <m/>
    <m/>
    <s v="42"/>
    <m/>
    <m/>
    <m/>
    <m/>
    <m/>
    <m/>
    <d v="2021-01-06T00:00:00"/>
    <x v="0"/>
    <d v="2021-02-05T00:00:00"/>
    <x v="0"/>
    <n v="673"/>
    <m/>
    <x v="0"/>
    <m/>
    <x v="0"/>
    <m/>
    <m/>
    <m/>
    <m/>
  </r>
  <r>
    <s v="0230579640231"/>
    <s v="1317941023"/>
    <s v="ZJKT2_5936"/>
    <s v="MEKAR BAKTI PANONGAN"/>
    <s v="Mekar Bakti Panongan"/>
    <s v="NEW BUILD"/>
    <s v="STIP 1"/>
    <s v="SMART8"/>
    <x v="0"/>
    <d v="2020-02-10T00:00:00"/>
    <s v="019741/TBG-TB/SMART8/MKT/02/2020"/>
    <d v="2020-02-10T00:00:00"/>
    <s v="-6.252882"/>
    <s v="-6.252882"/>
    <m/>
    <s v="JABODETABEK (OUTER)"/>
    <x v="1"/>
    <s v="BANTEN"/>
    <n v="42"/>
    <m/>
    <x v="0"/>
    <m/>
    <m/>
    <m/>
    <s v="42"/>
    <m/>
    <m/>
    <m/>
    <m/>
    <m/>
    <m/>
    <d v="2021-01-06T00:00:00"/>
    <x v="0"/>
    <d v="2021-02-05T00:00:00"/>
    <x v="0"/>
    <n v="673"/>
    <m/>
    <x v="0"/>
    <m/>
    <x v="0"/>
    <m/>
    <m/>
    <m/>
    <m/>
  </r>
  <r>
    <s v="0230579660231"/>
    <s v="1261251023"/>
    <s v="ZBGR_4660"/>
    <s v="SUSUKAN BOJONG GEDE"/>
    <s v="Susukan Bojong Gede"/>
    <s v="NEW BUILD"/>
    <s v="STIP 1"/>
    <s v="SMART8"/>
    <x v="0"/>
    <d v="2020-02-10T00:00:00"/>
    <s v="019743/TBG-TB/SMART8/MKT/02/2020"/>
    <d v="2020-02-10T00:00:00"/>
    <s v="-6.478516"/>
    <s v="-6.478516"/>
    <m/>
    <s v="JABODETABEK (OUTER)"/>
    <x v="5"/>
    <s v="JAWA BARAT"/>
    <n v="42"/>
    <m/>
    <x v="0"/>
    <m/>
    <m/>
    <m/>
    <s v="42"/>
    <m/>
    <m/>
    <m/>
    <m/>
    <m/>
    <m/>
    <d v="2021-01-06T00:00:00"/>
    <x v="0"/>
    <d v="2021-02-05T00:00:00"/>
    <x v="0"/>
    <n v="673"/>
    <m/>
    <x v="0"/>
    <m/>
    <x v="0"/>
    <m/>
    <m/>
    <m/>
    <m/>
  </r>
  <r>
    <s v="0230579790231"/>
    <s v="1261261023"/>
    <s v="ZJKT2_6036"/>
    <s v="MEDAN SATRIA MEDAN SATRIA"/>
    <s v="Medan Satria Medan Satria"/>
    <s v="NEW BUILD"/>
    <s v="STIP 1"/>
    <s v="SMART8"/>
    <x v="0"/>
    <d v="2020-02-10T00:00:00"/>
    <s v="019756/TBG-TB/SMART8/MKT/02/2020"/>
    <d v="2020-02-10T00:00:00"/>
    <s v="-6.206452"/>
    <s v="-6.206452"/>
    <m/>
    <s v="JABODETABEK (OUTER)"/>
    <x v="7"/>
    <s v="JAWA BARAT"/>
    <n v="25"/>
    <m/>
    <x v="0"/>
    <m/>
    <m/>
    <m/>
    <s v="25"/>
    <m/>
    <m/>
    <m/>
    <m/>
    <m/>
    <m/>
    <d v="2021-01-06T00:00:00"/>
    <x v="0"/>
    <d v="2021-02-05T00:00:00"/>
    <x v="0"/>
    <n v="673"/>
    <m/>
    <x v="0"/>
    <m/>
    <x v="0"/>
    <m/>
    <m/>
    <m/>
    <m/>
  </r>
  <r>
    <s v="0230579800231"/>
    <s v="1261271023"/>
    <s v="ZJKT2_6016"/>
    <s v="KOTA BARU BEKASI BARAT"/>
    <s v="Kota Baru Bekasi Barat"/>
    <s v="NEW BUILD"/>
    <s v="STIP 1"/>
    <s v="SMART8"/>
    <x v="0"/>
    <d v="2020-02-10T00:00:00"/>
    <s v="019757/TBG-TB/SMART8/MKT/02/2020"/>
    <d v="2020-02-10T00:00:00"/>
    <s v="-6.21632"/>
    <s v="-6.21632"/>
    <m/>
    <s v="JABODETABEK (OUTER)"/>
    <x v="7"/>
    <s v="JAWA BARAT"/>
    <n v="25"/>
    <m/>
    <x v="0"/>
    <m/>
    <m/>
    <m/>
    <s v="25"/>
    <m/>
    <m/>
    <m/>
    <m/>
    <m/>
    <m/>
    <d v="2021-01-06T00:00:00"/>
    <x v="0"/>
    <d v="2021-02-05T00:00:00"/>
    <x v="0"/>
    <n v="673"/>
    <m/>
    <x v="0"/>
    <m/>
    <x v="0"/>
    <m/>
    <m/>
    <m/>
    <m/>
  </r>
  <r>
    <s v="0230579810231"/>
    <s v="1261281023"/>
    <s v="ZJKT2_5986"/>
    <s v="JATIRAHAYU PONDOKMELATI"/>
    <s v="Jatirahayu Pondokmelati"/>
    <s v="NEW BUILD"/>
    <s v="STIP 1"/>
    <s v="SMART8"/>
    <x v="0"/>
    <d v="2020-02-10T00:00:00"/>
    <s v="019758/TBG-TB/SMART8/MKT/02/2020"/>
    <d v="2020-02-10T00:00:00"/>
    <s v="-6.295498"/>
    <s v="-6.295498"/>
    <m/>
    <s v="JABODETABEK (OUTER)"/>
    <x v="7"/>
    <s v="JAWA BARAT"/>
    <n v="25"/>
    <m/>
    <x v="0"/>
    <m/>
    <m/>
    <m/>
    <s v="25"/>
    <m/>
    <m/>
    <m/>
    <m/>
    <m/>
    <m/>
    <d v="2021-01-06T00:00:00"/>
    <x v="0"/>
    <d v="2021-02-05T00:00:00"/>
    <x v="0"/>
    <n v="673"/>
    <m/>
    <x v="0"/>
    <m/>
    <x v="0"/>
    <m/>
    <m/>
    <m/>
    <m/>
  </r>
  <r>
    <s v="0230579820231"/>
    <s v="1261291023"/>
    <s v="ZJKT2_5911"/>
    <s v="CIMUNING MUSTIKAJAYA"/>
    <s v="Cimuning Mustikajaya"/>
    <s v="NEW BUILD"/>
    <s v="STIP 1"/>
    <s v="SMART8"/>
    <x v="0"/>
    <d v="2020-02-10T00:00:00"/>
    <s v="019759/TBG-TB/SMART8/MKT/02/2020"/>
    <d v="2020-02-10T00:00:00"/>
    <s v="-6.316367"/>
    <s v="-6.316367"/>
    <m/>
    <s v="JABODETABEK (OUTER)"/>
    <x v="7"/>
    <s v="JAWA BARAT"/>
    <n v="25"/>
    <m/>
    <x v="0"/>
    <m/>
    <m/>
    <m/>
    <s v="25"/>
    <m/>
    <m/>
    <m/>
    <m/>
    <m/>
    <m/>
    <d v="2021-01-06T00:00:00"/>
    <x v="0"/>
    <d v="2021-02-05T00:00:00"/>
    <x v="0"/>
    <n v="673"/>
    <m/>
    <x v="0"/>
    <m/>
    <x v="0"/>
    <m/>
    <m/>
    <m/>
    <m/>
  </r>
  <r>
    <s v="0230580710231"/>
    <s v="1317981023"/>
    <s v="ZJKT2_6087"/>
    <s v="WANA KERTA SINDANG JAYA"/>
    <s v="Wana Kerta Sindang Jaya"/>
    <s v="NEW BUILD"/>
    <s v="STIP 1"/>
    <s v="SMART8"/>
    <x v="0"/>
    <n v="2020"/>
    <s v="019848/TBG-TB/SMART8/MKT/02/2020"/>
    <d v="2020-02-11T00:00:00"/>
    <s v="-6.196603"/>
    <s v="106.5079"/>
    <m/>
    <s v="JABODETABEK (OUTER)"/>
    <x v="1"/>
    <s v="BANTEN"/>
    <n v="42"/>
    <s v="PT. MANDIRA INFRA TRIPAKARTI"/>
    <x v="0"/>
    <m/>
    <m/>
    <m/>
    <m/>
    <m/>
    <m/>
    <m/>
    <m/>
    <s v="SST"/>
    <s v="GF"/>
    <d v="2021-01-06T00:00:00"/>
    <x v="0"/>
    <d v="2021-02-05T00:00:00"/>
    <x v="0"/>
    <n v="672"/>
    <m/>
    <x v="0"/>
    <m/>
    <x v="0"/>
    <s v="BAN/BAK"/>
    <m/>
    <m/>
    <m/>
  </r>
  <r>
    <s v="0230579910231"/>
    <s v="1261301023"/>
    <s v="ZBGR_4657"/>
    <s v="CIAPUS CIOMAS"/>
    <s v="Ciapus Ciomas"/>
    <s v="NEW BUILD"/>
    <s v="STIP 1"/>
    <s v="SMART8"/>
    <x v="0"/>
    <d v="2020-02-11T00:00:00"/>
    <s v="019768/TBG-TB/SMART8/MKT/02/2020"/>
    <d v="2020-02-11T00:00:00"/>
    <s v="-6.601142"/>
    <s v="-6.601142"/>
    <m/>
    <s v="JABODETABEK (OUTER)"/>
    <x v="5"/>
    <s v="JAWA BARAT"/>
    <n v="42"/>
    <m/>
    <x v="0"/>
    <m/>
    <m/>
    <m/>
    <s v="42"/>
    <m/>
    <m/>
    <m/>
    <m/>
    <m/>
    <m/>
    <d v="2021-01-06T00:00:00"/>
    <x v="0"/>
    <d v="2021-02-05T00:00:00"/>
    <x v="0"/>
    <n v="672"/>
    <m/>
    <x v="0"/>
    <m/>
    <x v="0"/>
    <m/>
    <m/>
    <m/>
    <m/>
  </r>
  <r>
    <s v="0230579920231"/>
    <s v="1261311023"/>
    <s v="ZJKT2_5922"/>
    <s v="TANAH BARU BEJI"/>
    <s v="Tanah Baru Beji"/>
    <s v="NEW BUILD"/>
    <s v="STIP 1"/>
    <s v="SMART8"/>
    <x v="0"/>
    <d v="2020-02-11T00:00:00"/>
    <s v="019769/TBG-TB/SMART8/MKT/02/2020"/>
    <d v="2020-02-11T00:00:00"/>
    <s v="-6.38254"/>
    <s v="-6.38254"/>
    <m/>
    <s v="JABODETABEK (INNER)"/>
    <x v="0"/>
    <s v="JAWA BARAT"/>
    <n v="42"/>
    <m/>
    <x v="0"/>
    <m/>
    <m/>
    <m/>
    <s v="42"/>
    <m/>
    <m/>
    <m/>
    <m/>
    <m/>
    <m/>
    <d v="2021-01-06T00:00:00"/>
    <x v="0"/>
    <d v="2021-02-05T00:00:00"/>
    <x v="0"/>
    <n v="672"/>
    <m/>
    <x v="0"/>
    <m/>
    <x v="0"/>
    <m/>
    <m/>
    <m/>
    <m/>
  </r>
  <r>
    <s v="0230579960231"/>
    <s v="1261321023"/>
    <s v="ZBGR_4653"/>
    <s v="PARIGI MEKAR CISEENG"/>
    <s v="Parigi Mekar Ciseeng"/>
    <s v="NEW BUILD"/>
    <s v="STIP 1"/>
    <s v="SMART8"/>
    <x v="0"/>
    <d v="2020-02-11T00:00:00"/>
    <s v="019773/TBG-TB/SMART8/MKT/02/2020"/>
    <d v="2020-02-11T00:00:00"/>
    <s v="-6.450596"/>
    <s v="-6.450596"/>
    <m/>
    <s v="JABODETABEK (OUTER)"/>
    <x v="5"/>
    <s v="JAWA BARAT"/>
    <n v="42"/>
    <m/>
    <x v="0"/>
    <m/>
    <m/>
    <m/>
    <s v="42"/>
    <m/>
    <m/>
    <m/>
    <m/>
    <m/>
    <m/>
    <d v="2021-01-06T00:00:00"/>
    <x v="0"/>
    <d v="2021-02-05T00:00:00"/>
    <x v="0"/>
    <n v="672"/>
    <m/>
    <x v="0"/>
    <m/>
    <x v="0"/>
    <m/>
    <m/>
    <m/>
    <m/>
  </r>
  <r>
    <s v="0230579970231"/>
    <s v="1261331023"/>
    <s v="ZJKT2_5921"/>
    <s v="CIANTRA CIKARANG SELATAN"/>
    <s v="Ciantra Cikarang Selatan"/>
    <s v="NEW BUILD"/>
    <s v="STIP 1"/>
    <s v="SMART8"/>
    <x v="0"/>
    <d v="2020-02-11T00:00:00"/>
    <s v="019774/TBG-TB/SMART8/MKT/02/2020"/>
    <d v="2020-02-11T00:00:00"/>
    <s v="-6.340953"/>
    <s v="-6.340953"/>
    <m/>
    <s v="JABODETABEK (OUTER)"/>
    <x v="11"/>
    <s v="JAWA BARAT"/>
    <n v="42"/>
    <m/>
    <x v="0"/>
    <m/>
    <m/>
    <m/>
    <s v="42"/>
    <m/>
    <m/>
    <m/>
    <m/>
    <m/>
    <m/>
    <d v="2021-01-06T00:00:00"/>
    <x v="0"/>
    <d v="2021-02-05T00:00:00"/>
    <x v="0"/>
    <n v="672"/>
    <m/>
    <x v="0"/>
    <m/>
    <x v="0"/>
    <m/>
    <m/>
    <m/>
    <m/>
  </r>
  <r>
    <s v="0230579980231"/>
    <s v="1261341023"/>
    <s v="ZJKT2_5920"/>
    <s v="RAWAKALONG GUNUNG SINDUR"/>
    <s v="Rawakalong Gunung Sindur"/>
    <s v="NEW BUILD"/>
    <s v="STIP 1"/>
    <s v="SMART8"/>
    <x v="0"/>
    <d v="2020-02-11T00:00:00"/>
    <s v="019775/TBG-TB/SMART8/MKT/02/2020"/>
    <d v="2020-02-11T00:00:00"/>
    <s v="-6.362964"/>
    <s v="-6.362964"/>
    <m/>
    <s v="JABODETABEK (OUTER)"/>
    <x v="5"/>
    <s v="JAWA BARAT"/>
    <n v="42"/>
    <m/>
    <x v="0"/>
    <m/>
    <m/>
    <m/>
    <s v="42"/>
    <m/>
    <m/>
    <m/>
    <m/>
    <m/>
    <m/>
    <d v="2021-01-06T00:00:00"/>
    <x v="0"/>
    <d v="2021-02-05T00:00:00"/>
    <x v="0"/>
    <n v="672"/>
    <m/>
    <x v="0"/>
    <m/>
    <x v="0"/>
    <m/>
    <m/>
    <m/>
    <m/>
  </r>
  <r>
    <s v="0230579990231"/>
    <s v="1261351023"/>
    <s v="ZJKT2_5918"/>
    <s v="RAGAJAYA BOJONG GEDE"/>
    <s v="Ragajaya Bojong Gede"/>
    <s v="NEW BUILD"/>
    <s v="STIP 1"/>
    <s v="SMART8"/>
    <x v="0"/>
    <d v="2020-02-11T00:00:00"/>
    <s v="019776/TBG-TB/SMART8/MKT/02/2020"/>
    <d v="2020-02-11T00:00:00"/>
    <s v="-6.44698"/>
    <s v="-6.44698"/>
    <m/>
    <s v="JABODETABEK (OUTER)"/>
    <x v="5"/>
    <s v="JAWA BARAT"/>
    <n v="42"/>
    <m/>
    <x v="0"/>
    <m/>
    <m/>
    <m/>
    <s v="42"/>
    <m/>
    <m/>
    <m/>
    <m/>
    <m/>
    <m/>
    <d v="2021-01-06T00:00:00"/>
    <x v="0"/>
    <d v="2021-02-05T00:00:00"/>
    <x v="0"/>
    <n v="672"/>
    <m/>
    <x v="0"/>
    <m/>
    <x v="0"/>
    <m/>
    <m/>
    <m/>
    <m/>
  </r>
  <r>
    <s v="0230580000231"/>
    <s v="1261361023"/>
    <s v="ZJKT2_5917"/>
    <s v="KEDUNGJAYA BABELAN"/>
    <s v="Kedungjaya Babelan"/>
    <s v="NEW BUILD"/>
    <s v="STIP 1"/>
    <s v="SMART8"/>
    <x v="0"/>
    <d v="2020-02-11T00:00:00"/>
    <s v="019777/TBG-TB/SMART8/MKT/02/2020"/>
    <d v="2020-02-11T00:00:00"/>
    <s v="-6.157705"/>
    <s v="-6.157705"/>
    <m/>
    <s v="JABODETABEK (OUTER)"/>
    <x v="11"/>
    <s v="JAWA BARAT"/>
    <n v="42"/>
    <m/>
    <x v="0"/>
    <m/>
    <m/>
    <m/>
    <s v="42"/>
    <m/>
    <m/>
    <m/>
    <m/>
    <m/>
    <m/>
    <d v="2021-01-06T00:00:00"/>
    <x v="0"/>
    <d v="2021-02-05T00:00:00"/>
    <x v="0"/>
    <n v="672"/>
    <m/>
    <x v="0"/>
    <m/>
    <x v="0"/>
    <m/>
    <m/>
    <m/>
    <m/>
  </r>
  <r>
    <s v="0230580010231"/>
    <s v="1261371023"/>
    <s v="ZJKT2_5913"/>
    <s v="KEBALEN BABELAN"/>
    <s v="Kebalen Babelan"/>
    <s v="NEW BUILD"/>
    <s v="STIP 1"/>
    <s v="SMART8"/>
    <x v="0"/>
    <d v="2020-02-11T00:00:00"/>
    <s v="019778/TBG-TB/SMART8/MKT/02/2020"/>
    <d v="2020-02-11T00:00:00"/>
    <s v="-6.19394"/>
    <s v="-6.19394"/>
    <m/>
    <s v="JABODETABEK (OUTER)"/>
    <x v="11"/>
    <s v="JAWA BARAT"/>
    <n v="42"/>
    <m/>
    <x v="0"/>
    <m/>
    <m/>
    <m/>
    <s v="42"/>
    <m/>
    <m/>
    <m/>
    <m/>
    <m/>
    <m/>
    <d v="2021-01-06T00:00:00"/>
    <x v="0"/>
    <d v="2021-02-05T00:00:00"/>
    <x v="0"/>
    <n v="672"/>
    <m/>
    <x v="0"/>
    <m/>
    <x v="0"/>
    <m/>
    <m/>
    <m/>
    <m/>
  </r>
  <r>
    <s v="0230580020231"/>
    <s v="1261381023"/>
    <s v="ZBGR_4652"/>
    <s v="PABUARAN CIBINONG"/>
    <s v="Pabuaran Cibinong"/>
    <s v="NEW BUILD"/>
    <s v="STIP 1"/>
    <s v="SMART8"/>
    <x v="0"/>
    <d v="2020-02-11T00:00:00"/>
    <s v="019779/TBG-TB/SMART8/MKT/02/2020"/>
    <d v="2020-02-11T00:00:00"/>
    <s v="-6.46181"/>
    <s v="-6.46181"/>
    <m/>
    <s v="JABODETABEK (OUTER)"/>
    <x v="5"/>
    <s v="JAWA BARAT"/>
    <n v="42"/>
    <m/>
    <x v="0"/>
    <m/>
    <m/>
    <m/>
    <s v="42"/>
    <m/>
    <m/>
    <m/>
    <m/>
    <m/>
    <m/>
    <d v="2021-01-06T00:00:00"/>
    <x v="0"/>
    <d v="2021-02-05T00:00:00"/>
    <x v="0"/>
    <n v="672"/>
    <m/>
    <x v="0"/>
    <m/>
    <x v="0"/>
    <m/>
    <m/>
    <m/>
    <m/>
  </r>
  <r>
    <s v="0230580030231"/>
    <s v="1261391023"/>
    <s v="ZJKT2_5904"/>
    <s v="BABELAN BEKASI"/>
    <s v="Babelan Bekasi"/>
    <s v="NEW BUILD"/>
    <s v="STIP 1"/>
    <s v="SMART8"/>
    <x v="0"/>
    <d v="2020-02-11T00:00:00"/>
    <s v="019780/TBG-TB/SMART8/MKT/02/2020"/>
    <d v="2020-02-11T00:00:00"/>
    <s v="-6.176712"/>
    <s v="-6.176712"/>
    <m/>
    <s v="JABODETABEK (OUTER)"/>
    <x v="11"/>
    <s v="JAWA BARAT"/>
    <n v="42"/>
    <m/>
    <x v="0"/>
    <m/>
    <m/>
    <m/>
    <s v="42"/>
    <m/>
    <m/>
    <m/>
    <m/>
    <m/>
    <m/>
    <d v="2021-01-06T00:00:00"/>
    <x v="0"/>
    <d v="2021-02-05T00:00:00"/>
    <x v="0"/>
    <n v="672"/>
    <m/>
    <x v="0"/>
    <m/>
    <x v="0"/>
    <m/>
    <m/>
    <m/>
    <m/>
  </r>
  <r>
    <s v="0230580060231"/>
    <s v="1261401023"/>
    <s v="ZJKT2_5902"/>
    <s v="KEBALEN BEKASI"/>
    <s v="Kebalen Bekasi"/>
    <s v="NEW BUILD"/>
    <s v="STIP 1"/>
    <s v="SMART8"/>
    <x v="0"/>
    <d v="2020-02-11T00:00:00"/>
    <s v="019783/TBG-TB/SMART8/MKT/02/2020"/>
    <d v="2020-02-11T00:00:00"/>
    <s v="-6.196864"/>
    <s v="-6.196864"/>
    <m/>
    <s v="JABODETABEK (OUTER)"/>
    <x v="11"/>
    <s v="JAWA BARAT"/>
    <n v="42"/>
    <m/>
    <x v="0"/>
    <m/>
    <m/>
    <m/>
    <s v="42"/>
    <m/>
    <m/>
    <m/>
    <m/>
    <m/>
    <m/>
    <d v="2021-01-06T00:00:00"/>
    <x v="0"/>
    <d v="2021-02-05T00:00:00"/>
    <x v="0"/>
    <n v="672"/>
    <m/>
    <x v="0"/>
    <m/>
    <x v="0"/>
    <m/>
    <m/>
    <m/>
    <m/>
  </r>
  <r>
    <s v="0230580070231"/>
    <s v="1261411023"/>
    <s v="ZJKT2_5898"/>
    <s v="TUGU CIMANGGIS"/>
    <s v="Tugu Cimanggis"/>
    <s v="NEW BUILD"/>
    <s v="STIP 1"/>
    <s v="SMART8"/>
    <x v="0"/>
    <d v="2020-02-11T00:00:00"/>
    <s v="019784/TBG-TB/SMART8/MKT/02/2020"/>
    <d v="2020-02-11T00:00:00"/>
    <s v="-6.347367"/>
    <s v="-6.347367"/>
    <m/>
    <s v="JABODETABEK (INNER)"/>
    <x v="0"/>
    <s v="JAWA BARAT"/>
    <n v="42"/>
    <m/>
    <x v="0"/>
    <m/>
    <m/>
    <m/>
    <s v="42"/>
    <m/>
    <m/>
    <m/>
    <m/>
    <m/>
    <m/>
    <d v="2021-01-06T00:00:00"/>
    <x v="0"/>
    <d v="2021-02-05T00:00:00"/>
    <x v="0"/>
    <n v="672"/>
    <m/>
    <x v="0"/>
    <m/>
    <x v="0"/>
    <m/>
    <m/>
    <m/>
    <m/>
  </r>
  <r>
    <s v="0230580080231"/>
    <s v="1317951023"/>
    <s v="ZJKT2_5897"/>
    <s v="BOJONG NANGKA BANTEN"/>
    <s v="Bojong Nangka Banten"/>
    <s v="NEW BUILD"/>
    <s v="STIP 1"/>
    <s v="SMART8"/>
    <x v="0"/>
    <d v="2020-02-11T00:00:00"/>
    <s v="019785/TBG-TB/SMART8/MKT/02/2020"/>
    <d v="2020-02-11T00:00:00"/>
    <s v="-6.256287"/>
    <s v="-6.256287"/>
    <m/>
    <s v="JABODETABEK (OUTER)"/>
    <x v="1"/>
    <s v="BANTEN"/>
    <n v="42"/>
    <m/>
    <x v="0"/>
    <m/>
    <m/>
    <m/>
    <s v="42"/>
    <m/>
    <m/>
    <m/>
    <m/>
    <m/>
    <m/>
    <d v="2021-01-06T00:00:00"/>
    <x v="0"/>
    <d v="2021-02-05T00:00:00"/>
    <x v="0"/>
    <n v="672"/>
    <m/>
    <x v="0"/>
    <m/>
    <x v="0"/>
    <m/>
    <m/>
    <m/>
    <m/>
  </r>
  <r>
    <s v="0230580380231"/>
    <s v="1261431023"/>
    <s v="ZJKT2_4000"/>
    <s v="SUKAHURIP SUKATANI"/>
    <s v="Sukahurip Sukatani"/>
    <s v="NEW BUILD"/>
    <s v="STIP 1"/>
    <s v="SMART8"/>
    <x v="0"/>
    <d v="2020-02-11T00:00:00"/>
    <s v="019815/TBG-TB/SMART8/MKT/02/2020"/>
    <d v="2020-02-11T00:00:00"/>
    <s v="-6.213369"/>
    <s v="-6.213369"/>
    <m/>
    <s v="JABODETABEK (OUTER)"/>
    <x v="11"/>
    <s v="JAWA BARAT"/>
    <n v="42"/>
    <m/>
    <x v="0"/>
    <m/>
    <m/>
    <m/>
    <s v="42"/>
    <m/>
    <m/>
    <m/>
    <m/>
    <m/>
    <m/>
    <d v="2021-01-06T00:00:00"/>
    <x v="0"/>
    <d v="2021-02-05T00:00:00"/>
    <x v="0"/>
    <n v="672"/>
    <m/>
    <x v="0"/>
    <m/>
    <x v="0"/>
    <m/>
    <m/>
    <m/>
    <m/>
  </r>
  <r>
    <s v="0230580640231"/>
    <s v="1261541023"/>
    <s v="ZJKT2_6107"/>
    <s v="PINAYUNGAN TELUKJAMBE TIMUR"/>
    <s v="Pinayungan Telukjambe Timur"/>
    <s v="NEW BUILD"/>
    <s v="STIP 1"/>
    <s v="SMART8"/>
    <x v="0"/>
    <d v="2020-02-11T00:00:00"/>
    <s v="019841/TBG-TB/SMART8/MKT/02/2020"/>
    <d v="2020-02-11T00:00:00"/>
    <s v="-6.360136"/>
    <s v="-6.360136"/>
    <m/>
    <s v="JABODETABEK (OUTER)"/>
    <x v="13"/>
    <s v="JAWA BARAT"/>
    <n v="42"/>
    <m/>
    <x v="0"/>
    <m/>
    <m/>
    <m/>
    <s v="42"/>
    <m/>
    <m/>
    <m/>
    <m/>
    <m/>
    <m/>
    <d v="2021-01-06T00:00:00"/>
    <x v="0"/>
    <d v="2021-02-05T00:00:00"/>
    <x v="0"/>
    <n v="672"/>
    <m/>
    <x v="0"/>
    <m/>
    <x v="0"/>
    <m/>
    <m/>
    <m/>
    <m/>
  </r>
  <r>
    <s v="0230580650231"/>
    <s v="1261551023"/>
    <s v="ZJKT2_6105"/>
    <s v="BENGLE MAJALAYA"/>
    <s v="Bengle Majalaya"/>
    <s v="NEW BUILD"/>
    <s v="STIP 1"/>
    <s v="SMART8"/>
    <x v="0"/>
    <d v="2020-02-11T00:00:00"/>
    <s v="019842/TBG-TB/SMART8/MKT/02/2020"/>
    <d v="2020-02-11T00:00:00"/>
    <s v="-6.323467"/>
    <s v="-6.323467"/>
    <m/>
    <s v="JABODETABEK (OUTER)"/>
    <x v="13"/>
    <s v="JAWA BARAT"/>
    <n v="42"/>
    <m/>
    <x v="0"/>
    <m/>
    <m/>
    <m/>
    <s v="42"/>
    <m/>
    <m/>
    <m/>
    <m/>
    <m/>
    <m/>
    <d v="2021-01-06T00:00:00"/>
    <x v="0"/>
    <d v="2021-02-05T00:00:00"/>
    <x v="0"/>
    <n v="672"/>
    <m/>
    <x v="0"/>
    <m/>
    <x v="0"/>
    <m/>
    <m/>
    <m/>
    <m/>
  </r>
  <r>
    <s v="0230580720231"/>
    <s v="1317991023"/>
    <s v="ZJKT2_6074"/>
    <s v="KARANGKEPUH BOJONEGARA"/>
    <s v="Karangkepuh Bojonegara"/>
    <s v="NEW BUILD"/>
    <s v="STIP 1"/>
    <s v="SMART8"/>
    <x v="0"/>
    <d v="2020-02-11T00:00:00"/>
    <s v="019849/TBG-TB/SMART8/MKT/02/2020"/>
    <d v="2020-02-11T00:00:00"/>
    <s v="-5.978916"/>
    <s v="-5.978916"/>
    <m/>
    <s v="JABODETABEK (OUTER)"/>
    <x v="14"/>
    <s v="BANTEN"/>
    <n v="42"/>
    <m/>
    <x v="0"/>
    <m/>
    <m/>
    <m/>
    <s v="42"/>
    <m/>
    <m/>
    <m/>
    <m/>
    <m/>
    <m/>
    <d v="2021-01-06T00:00:00"/>
    <x v="0"/>
    <d v="2021-02-05T00:00:00"/>
    <x v="0"/>
    <n v="672"/>
    <m/>
    <x v="0"/>
    <m/>
    <x v="0"/>
    <m/>
    <m/>
    <m/>
    <m/>
  </r>
  <r>
    <s v="0230580770231"/>
    <s v="1318001023"/>
    <s v="ZJKT2_5925"/>
    <s v="SUKADALEM WARINGINKURUNG"/>
    <s v="Sukadalem Waringinkurung"/>
    <s v="NEW BUILD"/>
    <s v="STIP 1"/>
    <s v="SMART8"/>
    <x v="0"/>
    <d v="2020-02-11T00:00:00"/>
    <s v="019854/TBG-TB/SMART8/MKT/02/2020"/>
    <d v="2020-02-11T00:00:00"/>
    <s v="-6.050434"/>
    <s v="-6.050434"/>
    <m/>
    <s v="JABODETABEK (OUTER)"/>
    <x v="14"/>
    <s v="BANTEN"/>
    <n v="42"/>
    <m/>
    <x v="0"/>
    <m/>
    <m/>
    <m/>
    <s v="42"/>
    <m/>
    <m/>
    <m/>
    <m/>
    <m/>
    <m/>
    <d v="2021-01-06T00:00:00"/>
    <x v="0"/>
    <d v="2021-02-05T00:00:00"/>
    <x v="0"/>
    <n v="672"/>
    <m/>
    <x v="0"/>
    <m/>
    <x v="0"/>
    <m/>
    <m/>
    <m/>
    <m/>
  </r>
  <r>
    <s v="0230580870231"/>
    <s v="1261581023"/>
    <s v="ZJKT_6886"/>
    <s v="PEJUANG MEDAN SATRIA"/>
    <s v="Pejuang Medan Satria"/>
    <s v="NEW MCP NON FO"/>
    <s v="STIP 1"/>
    <s v="SMART8"/>
    <x v="0"/>
    <d v="2020-02-11T00:00:00"/>
    <s v="019864/TBG-TB/SMART8/MKT/02/2020"/>
    <d v="2020-02-11T00:00:00"/>
    <s v="-6.180512"/>
    <s v="-6.180512"/>
    <m/>
    <s v="JABODETABEK (OUTER)"/>
    <x v="7"/>
    <s v="JAWA BARAT"/>
    <n v="20"/>
    <m/>
    <x v="0"/>
    <m/>
    <m/>
    <m/>
    <s v="20"/>
    <m/>
    <m/>
    <m/>
    <m/>
    <m/>
    <m/>
    <d v="2021-01-06T00:00:00"/>
    <x v="0"/>
    <d v="2021-02-05T00:00:00"/>
    <x v="0"/>
    <n v="672"/>
    <m/>
    <x v="0"/>
    <m/>
    <x v="0"/>
    <m/>
    <m/>
    <m/>
    <m/>
  </r>
  <r>
    <s v="0230581860231"/>
    <s v="1318011023"/>
    <s v="ZJKT2_4247"/>
    <s v="NEGLASARI TANGERANG"/>
    <s v="NEGLASARI TANGERANG"/>
    <s v="NEW MCP NON FO"/>
    <s v="STIP 1"/>
    <s v="SMART8"/>
    <x v="0"/>
    <d v="2020-02-17T00:00:00"/>
    <s v="020065/TBG-TB/SMART8/MKT/02/2020"/>
    <d v="2020-02-17T00:00:00"/>
    <s v="-6.1563"/>
    <s v="-6.1563"/>
    <m/>
    <s v="JABODETABEK (INNER)"/>
    <x v="8"/>
    <s v="BANTEN"/>
    <n v="20"/>
    <m/>
    <x v="0"/>
    <m/>
    <m/>
    <m/>
    <s v="20"/>
    <m/>
    <m/>
    <m/>
    <m/>
    <m/>
    <m/>
    <d v="2021-01-06T00:00:00"/>
    <x v="0"/>
    <d v="2021-02-05T00:00:00"/>
    <x v="0"/>
    <n v="666"/>
    <m/>
    <x v="0"/>
    <m/>
    <x v="0"/>
    <m/>
    <m/>
    <m/>
    <m/>
  </r>
  <r>
    <s v="0230581870231"/>
    <s v="1128061023"/>
    <s v="ZJKT2_4362"/>
    <s v="TANJUNG PRIOK UTARA"/>
    <s v="TANJUNG PRIOK UTARA"/>
    <s v="NEW MCP NON FO"/>
    <s v="STIP 1"/>
    <s v="SMART8"/>
    <x v="0"/>
    <d v="2020-02-17T00:00:00"/>
    <s v="020066/TBG-TB/SMART8/MKT/02/2020"/>
    <d v="2020-02-17T00:00:00"/>
    <s v="-6.11648"/>
    <s v="-6.11648"/>
    <m/>
    <s v="JABODETABEK (INNER)"/>
    <x v="10"/>
    <s v="DKI JAKARTA"/>
    <n v="20"/>
    <m/>
    <x v="0"/>
    <m/>
    <m/>
    <m/>
    <s v="20"/>
    <m/>
    <m/>
    <m/>
    <m/>
    <m/>
    <m/>
    <d v="2021-01-06T00:00:00"/>
    <x v="0"/>
    <d v="2021-02-05T00:00:00"/>
    <x v="0"/>
    <n v="666"/>
    <m/>
    <x v="0"/>
    <m/>
    <x v="0"/>
    <m/>
    <m/>
    <m/>
    <m/>
  </r>
  <r>
    <s v="0230581880231"/>
    <s v="1318021023"/>
    <s v="ZJKT2_4539"/>
    <s v="PONDOK AREN SELATAN"/>
    <s v="PONDOK AREN SELATAN"/>
    <s v="NEW MCP NON FO"/>
    <s v="STIP 1"/>
    <s v="SMART8"/>
    <x v="0"/>
    <d v="2020-02-17T00:00:00"/>
    <s v="020067/TBG-TB/SMART8/MKT/02/2020"/>
    <d v="2020-02-17T00:00:00"/>
    <s v="-6.26639"/>
    <s v="-6.26639"/>
    <m/>
    <s v="JABODETABEK (OUTER)"/>
    <x v="6"/>
    <s v="BANTEN"/>
    <n v="20"/>
    <m/>
    <x v="0"/>
    <m/>
    <m/>
    <m/>
    <s v="20"/>
    <m/>
    <m/>
    <m/>
    <m/>
    <m/>
    <m/>
    <d v="2021-01-06T00:00:00"/>
    <x v="0"/>
    <d v="2021-02-05T00:00:00"/>
    <x v="0"/>
    <n v="666"/>
    <m/>
    <x v="0"/>
    <m/>
    <x v="0"/>
    <m/>
    <m/>
    <m/>
    <m/>
  </r>
  <r>
    <s v="0230581890231"/>
    <s v="1318031023"/>
    <s v="ZJKT2_5117"/>
    <s v="PONDOK AREN 5117"/>
    <s v="PONDOK AREN 5117"/>
    <s v="NEW MCP NON FO"/>
    <s v="STIP 1"/>
    <s v="SMART8"/>
    <x v="0"/>
    <d v="2020-02-17T00:00:00"/>
    <s v="020068/TBG-TB/SMART8/MKT/02/2020"/>
    <d v="2020-02-17T00:00:00"/>
    <s v="-6.25382"/>
    <s v="-6.25382"/>
    <m/>
    <s v="JABODETABEK (OUTER)"/>
    <x v="6"/>
    <s v="BANTEN"/>
    <n v="20"/>
    <m/>
    <x v="0"/>
    <m/>
    <m/>
    <m/>
    <s v="20"/>
    <m/>
    <m/>
    <m/>
    <m/>
    <m/>
    <m/>
    <d v="2021-01-06T00:00:00"/>
    <x v="0"/>
    <d v="2021-02-05T00:00:00"/>
    <x v="0"/>
    <n v="666"/>
    <m/>
    <x v="0"/>
    <m/>
    <x v="0"/>
    <m/>
    <m/>
    <m/>
    <m/>
  </r>
  <r>
    <s v="0230581900231"/>
    <s v="1318041023"/>
    <s v="ZJKT2_5209"/>
    <s v="CIPUTAT SELATAN"/>
    <s v="CIPUTAT SELATAN"/>
    <s v="NEW MCP NON FO"/>
    <s v="STIP 1"/>
    <s v="SMART8"/>
    <x v="0"/>
    <d v="2020-02-17T00:00:00"/>
    <s v="020069/TBG-TB/SMART8/MKT/02/2020"/>
    <d v="2020-02-17T00:00:00"/>
    <s v="-6.29892"/>
    <s v="-6.29892"/>
    <m/>
    <s v="JABODETABEK (OUTER)"/>
    <x v="6"/>
    <s v="BANTEN"/>
    <n v="20"/>
    <m/>
    <x v="0"/>
    <m/>
    <m/>
    <m/>
    <s v="20"/>
    <m/>
    <m/>
    <m/>
    <m/>
    <m/>
    <m/>
    <d v="2021-01-06T00:00:00"/>
    <x v="0"/>
    <d v="2021-02-05T00:00:00"/>
    <x v="0"/>
    <n v="666"/>
    <m/>
    <x v="0"/>
    <m/>
    <x v="0"/>
    <m/>
    <m/>
    <m/>
    <m/>
  </r>
  <r>
    <s v="0030587400031"/>
    <s v="1261811003"/>
    <s v="JAW-JB-CBI-0065"/>
    <s v="PURA GUNUNG SALAK PERMANEN"/>
    <s v="PURA GUNUNG SALAK Permanen"/>
    <s v="NEW BUILD"/>
    <s v="STIP 1"/>
    <s v="XL"/>
    <x v="0"/>
    <n v="2020"/>
    <s v="020978/TBG-TB/XL/MKT/03/2020"/>
    <d v="2020-03-14T00:00:00"/>
    <s v="-6.668111"/>
    <s v="106.7359"/>
    <m/>
    <s v="JABODETABEK (OUTER)"/>
    <x v="5"/>
    <s v="JAWA BARAT"/>
    <n v="42"/>
    <s v="SS"/>
    <x v="2"/>
    <m/>
    <m/>
    <m/>
    <n v="42"/>
    <m/>
    <m/>
    <m/>
    <m/>
    <s v="SST"/>
    <s v="GF"/>
    <d v="2020-12-15T00:00:00"/>
    <x v="3"/>
    <d v="2021-01-14T00:00:00"/>
    <x v="0"/>
    <n v="640"/>
    <m/>
    <x v="0"/>
    <m/>
    <x v="0"/>
    <s v="Realisasi IW"/>
    <s v="[9.12.20] Submit eskalasi SITAC_x000a_[4.12.20] Kandidat Approve"/>
    <m/>
    <m/>
  </r>
  <r>
    <s v="0230587600231"/>
    <s v="1318111023"/>
    <s v="ZJKT2_6091"/>
    <s v="GANDASARI TANGERANG"/>
    <s v="Gandasari Tangerang"/>
    <s v="NEW BUILD"/>
    <s v="STIP 1"/>
    <s v="SMART8"/>
    <x v="0"/>
    <d v="2020-03-18T00:00:00"/>
    <s v="021239/TBG-TB/SMART8/MKT/03/2020"/>
    <d v="2020-03-18T00:00:00"/>
    <s v="-6.203108"/>
    <s v="-6.203108"/>
    <m/>
    <s v="JABODETABEK (INNER)"/>
    <x v="8"/>
    <s v="BANTEN"/>
    <n v="28"/>
    <m/>
    <x v="0"/>
    <m/>
    <m/>
    <m/>
    <s v="28"/>
    <m/>
    <m/>
    <m/>
    <m/>
    <m/>
    <m/>
    <d v="2021-01-06T00:00:00"/>
    <x v="0"/>
    <d v="2021-02-05T00:00:00"/>
    <x v="0"/>
    <n v="636"/>
    <m/>
    <x v="0"/>
    <m/>
    <x v="0"/>
    <m/>
    <m/>
    <m/>
    <m/>
  </r>
  <r>
    <s v="0230587630231"/>
    <s v="1128261023"/>
    <s v="ZJKT2_5899"/>
    <s v="JAKTIM CAKUNG BARAT"/>
    <s v="Jaktim Cakung Barat"/>
    <s v="NEW MCP NON FO"/>
    <s v="STIP 1"/>
    <s v="SMART8"/>
    <x v="0"/>
    <d v="2020-03-18T00:00:00"/>
    <s v="021242/TBG-TB/SMART8/MKT/03/2020"/>
    <d v="2020-03-18T00:00:00"/>
    <s v="-6.168942"/>
    <s v="-6.168942"/>
    <m/>
    <s v="JABODETABEK (INNER)"/>
    <x v="3"/>
    <s v="DKI JAKARTA"/>
    <n v="25"/>
    <m/>
    <x v="0"/>
    <m/>
    <m/>
    <m/>
    <s v="25"/>
    <m/>
    <m/>
    <m/>
    <m/>
    <m/>
    <m/>
    <d v="2021-01-06T00:00:00"/>
    <x v="0"/>
    <d v="2021-02-05T00:00:00"/>
    <x v="0"/>
    <n v="636"/>
    <m/>
    <x v="0"/>
    <m/>
    <x v="0"/>
    <m/>
    <m/>
    <m/>
    <m/>
  </r>
  <r>
    <s v="0230587650231"/>
    <s v="1318121023"/>
    <s v="ZJKT2_5945"/>
    <s v="KUNCIRAN"/>
    <s v="Kunciran"/>
    <s v="NEW BUILD"/>
    <s v="STIP 1"/>
    <s v="SMART8"/>
    <x v="0"/>
    <d v="2020-03-18T00:00:00"/>
    <s v="021244/TBG-TB/SMART8/MKT/03/2020"/>
    <d v="2020-03-18T00:00:00"/>
    <s v="-6.230812"/>
    <s v="-6.230812"/>
    <m/>
    <s v="JABODETABEK (INNER)"/>
    <x v="8"/>
    <s v="BANTEN"/>
    <n v="27"/>
    <m/>
    <x v="0"/>
    <m/>
    <m/>
    <m/>
    <s v="27"/>
    <m/>
    <m/>
    <m/>
    <m/>
    <m/>
    <m/>
    <d v="2021-01-06T00:00:00"/>
    <x v="0"/>
    <d v="2021-02-05T00:00:00"/>
    <x v="0"/>
    <n v="636"/>
    <m/>
    <x v="0"/>
    <m/>
    <x v="0"/>
    <m/>
    <m/>
    <m/>
    <m/>
  </r>
  <r>
    <s v="0230587660231"/>
    <s v="1128281023"/>
    <s v="ZJKT2_5961"/>
    <s v="DURI KOSAMBI JAKARTA"/>
    <s v="Duri Kosambi Jakarta"/>
    <s v="NEW MCP NON FO"/>
    <s v="STIP 1"/>
    <s v="SMART8"/>
    <x v="0"/>
    <d v="2020-03-18T00:00:00"/>
    <s v="021245/TBG-TB/SMART8/MKT/03/2020"/>
    <d v="2020-03-18T00:00:00"/>
    <s v="-6.182605"/>
    <s v="-6.182605"/>
    <m/>
    <s v="JABODETABEK (INNER)"/>
    <x v="2"/>
    <s v="DKI JAKARTA"/>
    <n v="26"/>
    <m/>
    <x v="0"/>
    <m/>
    <m/>
    <m/>
    <s v="26"/>
    <m/>
    <m/>
    <m/>
    <m/>
    <m/>
    <m/>
    <d v="2021-01-06T00:00:00"/>
    <x v="0"/>
    <d v="2021-02-05T00:00:00"/>
    <x v="0"/>
    <n v="636"/>
    <m/>
    <x v="0"/>
    <m/>
    <x v="0"/>
    <m/>
    <m/>
    <m/>
    <m/>
  </r>
  <r>
    <s v="0230587670231"/>
    <s v="1128291023"/>
    <s v="ZJKT2_6017"/>
    <s v="CAKUNG BARAT JAKTIM"/>
    <s v="Cakung Barat Jaktim"/>
    <s v="NEW MCP NON FO"/>
    <s v="STIP 1"/>
    <s v="SMART8"/>
    <x v="0"/>
    <d v="2020-03-18T00:00:00"/>
    <s v="021246/TBG-TB/SMART8/MKT/03/2020"/>
    <d v="2020-03-18T00:00:00"/>
    <s v="-6.167689"/>
    <s v="-6.167689"/>
    <m/>
    <s v="JABODETABEK (INNER)"/>
    <x v="3"/>
    <s v="DKI JAKARTA"/>
    <n v="30"/>
    <m/>
    <x v="0"/>
    <m/>
    <m/>
    <m/>
    <s v="30"/>
    <m/>
    <m/>
    <m/>
    <m/>
    <m/>
    <m/>
    <d v="2021-01-06T00:00:00"/>
    <x v="0"/>
    <d v="2021-02-05T00:00:00"/>
    <x v="0"/>
    <n v="636"/>
    <m/>
    <x v="0"/>
    <m/>
    <x v="0"/>
    <m/>
    <m/>
    <m/>
    <m/>
  </r>
  <r>
    <s v="0230587680231"/>
    <s v="1128301023"/>
    <s v="ZJKT2_6081"/>
    <s v="KALIDERES JAKBAR"/>
    <s v="Kalideres Jakbar"/>
    <s v="NEW MCP NON FO"/>
    <s v="STIP 1"/>
    <s v="SMART8"/>
    <x v="0"/>
    <d v="2020-03-18T00:00:00"/>
    <s v="021247/TBG-TB/SMART8/MKT/03/2020"/>
    <d v="2020-03-18T00:00:00"/>
    <s v="-6.153465"/>
    <s v="-6.153465"/>
    <m/>
    <s v="JABODETABEK (INNER)"/>
    <x v="2"/>
    <s v="DKI JAKARTA"/>
    <n v="24"/>
    <m/>
    <x v="0"/>
    <m/>
    <m/>
    <m/>
    <s v="24"/>
    <m/>
    <m/>
    <m/>
    <m/>
    <m/>
    <m/>
    <d v="2021-01-06T00:00:00"/>
    <x v="0"/>
    <d v="2021-02-05T00:00:00"/>
    <x v="0"/>
    <n v="636"/>
    <m/>
    <x v="0"/>
    <m/>
    <x v="0"/>
    <m/>
    <m/>
    <m/>
    <m/>
  </r>
  <r>
    <s v="0230587690231"/>
    <s v="1318131023"/>
    <s v="ZJKT2_6082"/>
    <s v="PERIUK"/>
    <s v="Periuk"/>
    <s v="NEW BUILD"/>
    <s v="STIP 1"/>
    <s v="SMART8"/>
    <x v="0"/>
    <d v="2020-03-18T00:00:00"/>
    <s v="021248/TBG-TB/SMART8/MKT/03/2020"/>
    <d v="2020-03-18T00:00:00"/>
    <s v="-6.15483"/>
    <s v="-6.15483"/>
    <m/>
    <s v="JABODETABEK (INNER)"/>
    <x v="8"/>
    <s v="BANTEN"/>
    <n v="30"/>
    <m/>
    <x v="0"/>
    <m/>
    <m/>
    <m/>
    <s v="30"/>
    <m/>
    <m/>
    <m/>
    <m/>
    <m/>
    <m/>
    <d v="2021-01-06T00:00:00"/>
    <x v="0"/>
    <d v="2021-02-05T00:00:00"/>
    <x v="0"/>
    <n v="636"/>
    <m/>
    <x v="0"/>
    <m/>
    <x v="0"/>
    <m/>
    <m/>
    <m/>
    <m/>
  </r>
  <r>
    <s v="0230587700231"/>
    <s v="1318141023"/>
    <s v="ZJKT2_6089"/>
    <s v="KENANGA"/>
    <s v="Kenanga"/>
    <s v="NEW BUILD"/>
    <s v="STIP 1"/>
    <s v="SMART8"/>
    <x v="0"/>
    <d v="2020-03-18T00:00:00"/>
    <s v="021249/TBG-TB/SMART8/MKT/03/2020"/>
    <d v="2020-03-18T00:00:00"/>
    <s v="-6.198763"/>
    <s v="-6.198763"/>
    <m/>
    <s v="JABODETABEK (INNER)"/>
    <x v="8"/>
    <s v="BANTEN"/>
    <n v="24"/>
    <m/>
    <x v="0"/>
    <m/>
    <m/>
    <m/>
    <s v="24"/>
    <m/>
    <m/>
    <m/>
    <m/>
    <m/>
    <m/>
    <d v="2021-01-06T00:00:00"/>
    <x v="0"/>
    <d v="2021-02-05T00:00:00"/>
    <x v="0"/>
    <n v="636"/>
    <m/>
    <x v="0"/>
    <m/>
    <x v="0"/>
    <m/>
    <m/>
    <m/>
    <m/>
  </r>
  <r>
    <s v="0230587710231"/>
    <s v="1318151023"/>
    <s v="ZJKT2_6095"/>
    <s v="GAGA"/>
    <s v="Gaga"/>
    <s v="NEW BUILD"/>
    <s v="STIP 1"/>
    <s v="SMART8"/>
    <x v="0"/>
    <d v="2020-03-18T00:00:00"/>
    <s v="021250/TBG-TB/SMART8/MKT/03/2020"/>
    <d v="2020-03-18T00:00:00"/>
    <s v="-6.24051"/>
    <s v="-6.24051"/>
    <m/>
    <s v="JABODETABEK (INNER)"/>
    <x v="8"/>
    <s v="BANTEN"/>
    <n v="24"/>
    <m/>
    <x v="0"/>
    <m/>
    <m/>
    <m/>
    <s v="24"/>
    <m/>
    <m/>
    <m/>
    <m/>
    <m/>
    <m/>
    <d v="2021-01-06T00:00:00"/>
    <x v="0"/>
    <d v="2021-02-05T00:00:00"/>
    <x v="0"/>
    <n v="636"/>
    <m/>
    <x v="0"/>
    <m/>
    <x v="0"/>
    <m/>
    <m/>
    <m/>
    <m/>
  </r>
  <r>
    <s v="0030594980031"/>
    <s v="1128751003"/>
    <s v="JAW-JK-TJP-0679"/>
    <s v="LONTAR DALAM KOJA"/>
    <s v="LONTAR DALAM KOJA"/>
    <s v="NEW MCP NON FO"/>
    <s v="STIP 1"/>
    <s v="XL"/>
    <x v="0"/>
    <n v="2020"/>
    <s v="023437/TBG-TB/XL/MKT/06/2020"/>
    <d v="2020-06-24T00:00:00"/>
    <s v="-6.118810"/>
    <s v="106.913530"/>
    <m/>
    <s v="JABODETABEK (INNER)"/>
    <x v="10"/>
    <s v="DKI JAKARTA"/>
    <n v="20"/>
    <s v="TBG IN HOUSE"/>
    <x v="1"/>
    <s v="B"/>
    <n v="-6.1188099999999999"/>
    <n v="106.91352999999999"/>
    <n v="20"/>
    <n v="20"/>
    <d v="2020-09-16T00:00:00"/>
    <n v="20"/>
    <d v="2020-11-24T00:00:00"/>
    <s v="POLE"/>
    <s v="GF"/>
    <s v="DONE"/>
    <x v="1"/>
    <e v="#VALUE!"/>
    <x v="1"/>
    <n v="149"/>
    <s v="DONE"/>
    <x v="0"/>
    <m/>
    <x v="1"/>
    <s v="RFC"/>
    <s v="RFC"/>
    <m/>
    <m/>
  </r>
  <r>
    <s v="0030594970031"/>
    <s v="1128741003"/>
    <s v="JAW-JK-TJP-0677"/>
    <s v="SWASEMBADA TANJUNG PRIOK"/>
    <s v="SWASEMBADA TANJUNG PRIOK"/>
    <s v="NEW MCP NON FO"/>
    <s v="STIP 1"/>
    <s v="XL"/>
    <x v="0"/>
    <n v="2020"/>
    <s v="023436/TBG-TB/XL/MKT/06/2020"/>
    <d v="2020-06-24T00:00:00"/>
    <n v="-6.1217649999999999"/>
    <n v="106.88795"/>
    <m/>
    <s v="JABODETABEK (INNER)"/>
    <x v="10"/>
    <s v="DKI JAKARTA"/>
    <n v="20"/>
    <s v="PT. KARYA LINTAS SEJAHTERA"/>
    <x v="3"/>
    <s v="E"/>
    <n v="-6.1221399999999999"/>
    <n v="106.88779"/>
    <n v="20"/>
    <n v="20"/>
    <d v="2020-09-16T00:00:00"/>
    <n v="20"/>
    <d v="2020-11-24T00:00:00"/>
    <s v="POLE"/>
    <s v="GF"/>
    <s v="DONE"/>
    <x v="1"/>
    <e v="#VALUE!"/>
    <x v="2"/>
    <n v="161"/>
    <s v="DONE"/>
    <x v="0"/>
    <m/>
    <x v="1"/>
    <s v="RFC"/>
    <s v="RFC"/>
    <m/>
    <m/>
  </r>
  <r>
    <s v="0030595820031"/>
    <s v="1262221003"/>
    <s v="JAW-JB-BKS-0708"/>
    <s v="BINTARA KENCANA TIMUR"/>
    <s v="BINTARA KENCANA TIMUR"/>
    <s v="NEW BUILD"/>
    <s v="STIP 1"/>
    <s v="XL"/>
    <x v="0"/>
    <n v="2020"/>
    <s v="023606/TBG-TB/XL/MKT/07/2020"/>
    <d v="2020-07-06T00:00:00"/>
    <s v="-6.224850"/>
    <s v="106.957570"/>
    <m/>
    <s v="JABODETABEK (OUTER)"/>
    <x v="7"/>
    <s v="JAWA BARAT"/>
    <n v="32"/>
    <s v="PT. FERGACO TEKNIKA"/>
    <x v="3"/>
    <s v="D"/>
    <n v="-6.2248609999999998"/>
    <n v="106.957639"/>
    <n v="27"/>
    <n v="25"/>
    <m/>
    <m/>
    <m/>
    <s v="SST"/>
    <s v="GF"/>
    <s v="DONE"/>
    <x v="1"/>
    <e v="#VALUE!"/>
    <x v="6"/>
    <n v="196"/>
    <s v="DONE"/>
    <x v="1"/>
    <m/>
    <x v="1"/>
    <s v="RFC"/>
    <s v="RFC_x000a_[4.1.21] APD Done by konsultan_x000a_[9.12.20] APD NY Done, review by consultant_x000a_Rekom Camat NY"/>
    <m/>
    <m/>
  </r>
  <r>
    <s v="0030600930031"/>
    <s v="1129171003"/>
    <s v="JAW-JK-TJP-0628"/>
    <s v="WARAKAS TANJUNG PRIOK"/>
    <s v="WARAKAS TANJUNG PRIOK"/>
    <s v="NEW BUILD"/>
    <s v="STIP 1"/>
    <s v="XL"/>
    <x v="1"/>
    <d v="2020-09-15T00:00:00"/>
    <s v="025157/TBG-PKP/XL/MKT/09/2020"/>
    <d v="2020-09-15T00:00:00"/>
    <s v="-6.11765"/>
    <s v="-6.11765"/>
    <m/>
    <s v="JABODETABEK (INNER)"/>
    <x v="10"/>
    <s v="DKI JAKARTA"/>
    <n v="16.5"/>
    <s v="PKP"/>
    <x v="4"/>
    <m/>
    <m/>
    <m/>
    <n v="16.5"/>
    <m/>
    <m/>
    <m/>
    <m/>
    <m/>
    <m/>
    <d v="2021-01-10T00:00:00"/>
    <x v="4"/>
    <d v="2021-02-09T00:00:00"/>
    <x v="7"/>
    <n v="56"/>
    <s v="DONE"/>
    <x v="0"/>
    <m/>
    <x v="1"/>
    <s v="RFC"/>
    <m/>
    <m/>
    <m/>
  </r>
  <r>
    <s v="0030594990031"/>
    <s v="1128761003"/>
    <s v="JAW-JK-TJP-0680"/>
    <s v="KAMPUNG BETING KOJA"/>
    <s v="KAMPUNG BETING KOJA"/>
    <s v="NEW MCP NON FO"/>
    <s v="STIP 1"/>
    <s v="XL"/>
    <x v="0"/>
    <d v="2020-06-24T00:00:00"/>
    <s v="023438/TBG-TB/XL/MKT/06/2020"/>
    <d v="2020-06-24T00:00:00"/>
    <s v="-6.119154"/>
    <s v="-6.119154"/>
    <m/>
    <s v="JABODETABEK (INNER)"/>
    <x v="10"/>
    <s v="DKI JAKARTA"/>
    <n v="20"/>
    <m/>
    <x v="0"/>
    <m/>
    <m/>
    <m/>
    <s v="20"/>
    <m/>
    <m/>
    <m/>
    <m/>
    <m/>
    <m/>
    <d v="2021-01-06T00:00:00"/>
    <x v="0"/>
    <d v="2021-02-05T00:00:00"/>
    <x v="0"/>
    <n v="538"/>
    <m/>
    <x v="0"/>
    <m/>
    <x v="0"/>
    <m/>
    <m/>
    <m/>
    <m/>
  </r>
  <r>
    <s v="0030595440031"/>
    <s v="1262201003"/>
    <s v="JAW-JB-BGR-0227"/>
    <s v="CILEUKSA SUKAJAYA"/>
    <s v="Cileuksa Sukajaya"/>
    <s v="NEW BUILD"/>
    <s v="STIP 1"/>
    <s v="XL"/>
    <x v="0"/>
    <n v="2020"/>
    <s v="023524/TBG-TB/XL/MKT/06/2020"/>
    <d v="2020-06-25T00:00:00"/>
    <s v="-6.59522"/>
    <s v="106.44636"/>
    <m/>
    <s v="JABODETABEK (OUTER)"/>
    <x v="5"/>
    <s v="JAWA BARAT"/>
    <n v="40"/>
    <s v="SS"/>
    <x v="5"/>
    <m/>
    <m/>
    <m/>
    <m/>
    <m/>
    <m/>
    <m/>
    <m/>
    <s v="SST"/>
    <s v="GF"/>
    <e v="#N/A"/>
    <x v="2"/>
    <e v="#N/A"/>
    <x v="0"/>
    <n v="537"/>
    <m/>
    <x v="0"/>
    <e v="#N/A"/>
    <x v="2"/>
    <s v="DROP"/>
    <s v="Re-Hunting Kandidat"/>
    <m/>
    <m/>
  </r>
  <r>
    <s v="0010601920011"/>
    <s v="1262801001"/>
    <s v="SKB146"/>
    <s v="AWILEGA"/>
    <s v="AWILEGA"/>
    <s v="NEW BUILD"/>
    <s v="STIP 1"/>
    <s v="TSEL"/>
    <x v="0"/>
    <n v="2020"/>
    <s v="025397/TBG-TB/TSEL/MKT/09/2020"/>
    <d v="2020-09-23T00:00:00"/>
    <s v="-6.98871"/>
    <s v="106.83992"/>
    <m/>
    <s v="JABODETABEK (OUTER)"/>
    <x v="15"/>
    <s v="JAWA BARAT"/>
    <n v="72"/>
    <s v="PT. BANJARPASIR NUSA PRATAMA"/>
    <x v="1"/>
    <m/>
    <m/>
    <m/>
    <n v="72"/>
    <m/>
    <m/>
    <m/>
    <m/>
    <s v="SST"/>
    <s v="GF"/>
    <s v="DONE"/>
    <x v="1"/>
    <e v="#VALUE!"/>
    <x v="1"/>
    <n v="58"/>
    <s v="DONE"/>
    <x v="0"/>
    <m/>
    <x v="1"/>
    <s v="RFC"/>
    <s v="RFC"/>
    <m/>
    <m/>
  </r>
  <r>
    <s v="0030600240031"/>
    <s v="1129131003"/>
    <s v="JAW-JK-TJP-0640"/>
    <s v="KALIBARU CILINCING"/>
    <s v="Kalibaru Cilincing"/>
    <s v="NEW BUILD"/>
    <s v="STIP 1"/>
    <s v="XL"/>
    <x v="1"/>
    <d v="2020-09-08T00:00:00"/>
    <s v="025012/TBG-PKP/XL/MKT/09/2020"/>
    <d v="2020-09-08T00:00:00"/>
    <s v="-6.100122"/>
    <s v="-6.100122"/>
    <m/>
    <s v="JABODETABEK (INNER)"/>
    <x v="10"/>
    <s v="DKI JAKARTA"/>
    <n v="23"/>
    <m/>
    <x v="5"/>
    <m/>
    <m/>
    <m/>
    <n v="23"/>
    <m/>
    <m/>
    <m/>
    <m/>
    <m/>
    <m/>
    <e v="#N/A"/>
    <x v="2"/>
    <e v="#N/A"/>
    <x v="0"/>
    <n v="462"/>
    <m/>
    <x v="0"/>
    <m/>
    <x v="2"/>
    <s v="DROP"/>
    <m/>
    <m/>
    <m/>
  </r>
  <r>
    <s v="0010601840011"/>
    <s v="1129181001"/>
    <s v="JUX064"/>
    <s v="JLBUDIMULYAUTARA"/>
    <s v="JLBUDIMULYAUTARA"/>
    <s v="NEW MCP NON FO"/>
    <s v="STIP 1"/>
    <s v="TSEL"/>
    <x v="0"/>
    <n v="2020"/>
    <s v="025389/TBG-TB/TSEL/MKT/09/2020"/>
    <d v="2020-09-23T00:00:00"/>
    <s v="-6.13228"/>
    <s v="106.83543"/>
    <m/>
    <s v="JABODETABEK (INNER)"/>
    <x v="10"/>
    <s v="DKI JAKARTA"/>
    <n v="20"/>
    <s v="PT. KARYA LINTAS SEJAHTERA"/>
    <x v="3"/>
    <m/>
    <m/>
    <m/>
    <n v="20"/>
    <m/>
    <m/>
    <m/>
    <m/>
    <s v="MCP"/>
    <s v="GF"/>
    <s v="DONE"/>
    <x v="1"/>
    <e v="#VALUE!"/>
    <x v="8"/>
    <n v="139"/>
    <s v="DONE"/>
    <x v="1"/>
    <m/>
    <x v="1"/>
    <s v="RFC"/>
    <s v="RFC_x000a_[9.2.21] RFC_x000a_[27.1.21] Legalitas lahan dan nadzir sedang diurus, rekom LC dikejar_x000a_[25.1.21] IW done, BAK Done, Nego start CME_x000a_[5.1.21] Validasi Titik to RANE TSEL_x000a_[9.12.20] Submit Kandidat Z_x000a_IW On Going"/>
    <m/>
    <m/>
  </r>
  <r>
    <s v="0230605900231"/>
    <s v="1129321023"/>
    <s v="ZJKT2_4563"/>
    <s v="ALFAMART TIPAR CAKUNG 2"/>
    <s v="ALFAMART TIPAR CAKUNG 2"/>
    <s v="NEW MCP NON FO"/>
    <s v="STIP 1"/>
    <s v="SMART8"/>
    <x v="1"/>
    <d v="2020-10-15T00:00:00"/>
    <s v="025829/TBG-PKP/SMART8/MKT/10/2020"/>
    <d v="2020-10-15T00:00:00"/>
    <s v="-6.1555"/>
    <s v="106.92906"/>
    <m/>
    <s v="JABODETABEK (INNER)"/>
    <x v="10"/>
    <s v="DKI JAKARTA"/>
    <n v="21"/>
    <s v="PT. LINTAS BANYU LESTARI"/>
    <x v="1"/>
    <m/>
    <m/>
    <m/>
    <n v="20"/>
    <m/>
    <m/>
    <m/>
    <m/>
    <s v="POLE"/>
    <s v="GF"/>
    <d v="2020-12-15T00:00:00"/>
    <x v="3"/>
    <d v="2021-01-14T00:00:00"/>
    <x v="6"/>
    <n v="95"/>
    <s v="DONE"/>
    <x v="0"/>
    <m/>
    <x v="1"/>
    <s v="RFC"/>
    <s v="RFC_x000a_[18.12.20] Start CME_x000a_[15.12.20] Join Survey SAT, LBL, TBG_x000a_[14.12.20] Rekom LC sudah clear, Proses SIK dari PKP plan release tanggal 14"/>
    <m/>
    <m/>
  </r>
  <r>
    <s v="0230613770231"/>
    <s v="1263671023"/>
    <s v="ZJKT2_5926"/>
    <s v="BEKASI UTARA KOTA BEKASI"/>
    <s v="BEKASI UTARA KOTA BEKASI"/>
    <s v="NEW BUILD"/>
    <s v="STIP 1"/>
    <s v="SMART8"/>
    <x v="0"/>
    <n v="2020"/>
    <s v="027761/TBG-TB/SMART8/MKT/11/2020"/>
    <d v="2020-11-23T00:00:00"/>
    <s v="-6.222518"/>
    <s v="107.009133"/>
    <m/>
    <s v="JABODETABEK (OUTER)"/>
    <x v="7"/>
    <s v="JAWA BARAT"/>
    <n v="42"/>
    <m/>
    <x v="5"/>
    <m/>
    <m/>
    <m/>
    <m/>
    <m/>
    <m/>
    <m/>
    <m/>
    <s v="SST"/>
    <s v="GF"/>
    <e v="#N/A"/>
    <x v="2"/>
    <e v="#N/A"/>
    <x v="0"/>
    <n v="386"/>
    <m/>
    <x v="0"/>
    <e v="#N/A"/>
    <x v="3"/>
    <s v="IW On Going"/>
    <s v="[7.3.21] Need New kandidat, rehunting by SS_x000a_[3.3.21] Dapat 2 kandidat follow up BAN/BAK_x000a_[1.3.21] Pak Jimmy hunting_x000a_[15.2.21] Negosiasi BAN dengan yayasan, angka BAN 37jt/thn_x000a_[10.2.21] Jovis with yayasan brata bhakti_x000a_[8.2.21] Comcase warga radius, geser kandidat. kandidat ke yayasan brata bhakti_x000a_[4.2.21] IW onGOing_x000a_[2.2.21] Validation done OG IW_x000a_[26.1.21] Re-submit kandidat C dan D setelah meeting &quot;clinic&quot; hari jumat, hasil nego BAN ke mitra submit hari ini_x000a_[30.12.20] Rejected via siteforge, waiting internal review SF_x000a_[22.12.20] Submit Kandidat C, D, E. _x000a_[20.12.20] Kandidat reject A dan B outsar, re-hunting_x000a_[16.12.20] Mitra submit kandidat, validation bia siteforge, TSSR NY_x000a_[15.12.20] Propose Datatel_x000a_[14.12.20] Pihak UBHARA menolak disewa, rehunting kandidat_x000a_Berkirim surat propose lahan UBHARA"/>
    <s v="Paralel IW untuk lahan kandidat baru, Kandidat NY submit siteforge"/>
    <m/>
  </r>
  <r>
    <s v="0230613630231"/>
    <s v="1263651023"/>
    <s v="ZBGR_4588"/>
    <s v="CIBUNGBULANG BOGOR"/>
    <s v="CIBUNGBULANG BOGOR"/>
    <s v="NEW BUILD"/>
    <s v="STIP 1"/>
    <s v="SMART8"/>
    <x v="0"/>
    <n v="2020"/>
    <s v="027747/TBG-TB/SMART8/MKT/11/2020"/>
    <d v="2020-11-23T00:00:00"/>
    <s v="-6.61969"/>
    <s v="106.65947"/>
    <m/>
    <s v="JABODETABEK (OUTER)"/>
    <x v="5"/>
    <s v="JAWA BARAT"/>
    <n v="52"/>
    <s v="PT. TURANGGA EMPAT TIGA"/>
    <x v="5"/>
    <s v="B"/>
    <n v="-6.6181999999999999"/>
    <n v="106.65853"/>
    <n v="52"/>
    <n v="49"/>
    <d v="2020-12-08T00:00:00"/>
    <s v="35/0.3"/>
    <d v="2020-12-08T00:00:00"/>
    <s v="SST"/>
    <s v="GF"/>
    <e v="#N/A"/>
    <x v="2"/>
    <e v="#N/A"/>
    <x v="0"/>
    <n v="386"/>
    <m/>
    <x v="0"/>
    <e v="#N/A"/>
    <x v="2"/>
    <s v="DROP"/>
    <s v="[11.3.21] Validasi kandidat by siteforge_x000a_[19.2.21] Need Take Over Mitra_x000a_[11.2.21] Jovis with SF_x000a_[2.2.21] Return by BNP, Pak Handri hunting titik kandidat_x000a_[26.1.21] Follow up mitra kandidat baru, maksimal jumat baru mitra di takeover_x000a_[7.1.21] Kandidat Approve, Eskalasi Submit 13.1.21_x000a_[5.1.21] Resubmit kandidat C, Plan IW clear 8.1.21_x000a_[22.12.20] Kandidat B, kepastian harga dari LL 23.12.20, check IW, Paralel Rehunting kandidat C_x000a_[20.12.20] BNP Submit kandidat, Check IW dan BAN 22.12.20_x000a_[17.12.20] Paralel Re-Hunting IW NY Clear_x000a_[14.12.20] Plan IW clear 16.12.20_x000a_IW OG, Koordinasi dengan lingkungan_x000a_RF validation Done, Candidat Approve_x000a_Submit Validasi 7.12.20"/>
    <s v="Validasi Kandidat terakhir dengan ketinggian 72m di siteforge"/>
    <m/>
  </r>
  <r>
    <s v="0070607420071"/>
    <s v="1263081007"/>
    <s v="604034"/>
    <s v="RAWA LUMBU 4"/>
    <s v="RAWA LUMBU 4"/>
    <s v="NEW BUILD"/>
    <s v="STIP 1"/>
    <s v="HCPT"/>
    <x v="1"/>
    <d v="2020-11-11T00:00:00"/>
    <s v="027046/TBG-PKP/HCPT/MKT/11/2020"/>
    <d v="2020-11-11T00:00:00"/>
    <s v="-6.27475"/>
    <s v="-6.27475"/>
    <m/>
    <s v="JABODETABEK (OUTER)"/>
    <x v="11"/>
    <s v="JAWA BARAT"/>
    <n v="21"/>
    <s v="PT. BANJARPASIR NUSA PRATAMA"/>
    <x v="0"/>
    <m/>
    <m/>
    <m/>
    <n v="21"/>
    <m/>
    <m/>
    <m/>
    <m/>
    <m/>
    <m/>
    <d v="2021-01-15T00:00:00"/>
    <x v="5"/>
    <d v="2021-02-14T00:00:00"/>
    <x v="0"/>
    <n v="398"/>
    <m/>
    <x v="0"/>
    <m/>
    <x v="0"/>
    <m/>
    <m/>
    <m/>
    <m/>
  </r>
  <r>
    <s v="0230613620231"/>
    <s v="1263641023"/>
    <s v="IN20_JB_0812"/>
    <s v="CITEUREUP BOGOR 2"/>
    <s v="CITEUREUP BOGOR 2"/>
    <s v="NEW BUILD"/>
    <s v="STIP 1"/>
    <s v="SMART8"/>
    <x v="0"/>
    <n v="2020"/>
    <s v="027746/TBG-TB/SMART8/MKT/11/2020"/>
    <d v="2020-11-23T00:00:00"/>
    <s v="-6.526776"/>
    <s v="106.907988"/>
    <s v="Kp. Legokrati RT. 002 RW. 003 Desa Tajur Kec. Citeureup Kab. Bogor"/>
    <s v="JABODETABEK (OUTER)"/>
    <x v="5"/>
    <s v="JAWA BARAT"/>
    <n v="52"/>
    <s v="PT. BANJARPASIR NUSA PRATAMA"/>
    <x v="3"/>
    <s v="A"/>
    <n v="-6.5270999999999999"/>
    <n v="106.90725999999999"/>
    <n v="52"/>
    <n v="43"/>
    <d v="2020-12-02T00:00:00"/>
    <s v="47/0.3"/>
    <d v="2020-12-07T00:00:00"/>
    <s v="SST"/>
    <s v="GF"/>
    <s v="DONE"/>
    <x v="1"/>
    <e v="#VALUE!"/>
    <x v="9"/>
    <n v="62"/>
    <s v="DONE"/>
    <x v="2"/>
    <m/>
    <x v="1"/>
    <s v="RFC"/>
    <s v="[24.1.21] RFC_x000a_[11.1.21] Rekom LC OG, kades masih diluar kota_x000a_[5.1.21] Resubmit eskalasi SITAC_x000a_[28.12.20] Eskalasi Rejected by ARO, waiting eskalasi submit 30.12.20_x000a_[22.12.20] Waiting validasi Kand. B siteforge, submit eskalasi ke ARO, Kandidat B IW Clear_x000a_[18.12.20] Resubmit kandidat via siteforge_x000a_[15.12.20] Approval kandidat reject_x000a_[14.12.20] IW OG done 15 KK, 11 KK 17.12.20_x000a_Plan Sabtu SOSWAR"/>
    <s v="Waiting hasil eskalasi ARO"/>
    <m/>
  </r>
  <r>
    <s v="0230613560231"/>
    <s v="1319301023"/>
    <s v="IN20_JB_1199"/>
    <s v="GUNUNG KALER TANGERANG"/>
    <s v="GUNUNG KALER TANGERANG"/>
    <s v="NEW BUILD"/>
    <s v="STIP 1"/>
    <s v="SMART8"/>
    <x v="0"/>
    <n v="2020"/>
    <s v="027740/TBG-TB/SMART8/MKT/11/2020"/>
    <d v="2020-11-23T00:00:00"/>
    <s v="-6.100917"/>
    <s v="106.371353"/>
    <s v="Kp. Serdang RT 010 RW 004, Desa Cipayeh , Kec. Gunung Kaler, Kab Tangerang"/>
    <s v="JABODETABEK (OUTER)"/>
    <x v="1"/>
    <s v="BANTEN"/>
    <n v="52"/>
    <s v="PT. PANEN"/>
    <x v="1"/>
    <s v="H"/>
    <n v="-6.0982200000000004"/>
    <n v="106.37063999999999"/>
    <n v="52"/>
    <n v="48"/>
    <d v="2021-12-01T00:00:00"/>
    <s v="35/1.2"/>
    <d v="2021-12-01T00:00:00"/>
    <s v="SST"/>
    <s v="GF"/>
    <s v="DONE"/>
    <x v="1"/>
    <e v="#VALUE!"/>
    <x v="10"/>
    <n v="99"/>
    <s v="DONE"/>
    <x v="1"/>
    <m/>
    <x v="1"/>
    <s v="RFC"/>
    <s v="[18.2.21] Rekom Camat Done, waiting APD dan Soil Test Result_x000a_[8.2.21] Rekom Camat_x000a_[5.2.21] Approval eskalasi to ARO, Approve ARO Rekom LC OG_x000a_[1.2.21] Approve by Operator Kand H, Follow Up Panen IW Clear_x000a_[23.1.21] Validasi by WA kand G_x000a_[9.1.21] Arahan Huntin baru, assign mitra rehunting kand E_x000a_[30.12.20] Reject kandidat by Siteforge. Waiting Internal Review_x000a_[28.12.20] Submit kandidat D dengan JR_x000a_[22.12.20] Plan Submit Mitra BNP 23.12.20_x000a_[17.12.20] Approval kandidat via siteforge_x000a_[16.12.20] Submit New Kandidat_x000a_[14.12.20] Kandidat A fail IW soswar tanggal 11.12.20. proses Rehunting plan submit TSSR 16.12.20_x000a_IW On Going"/>
    <m/>
    <m/>
  </r>
  <r>
    <s v="0230614440231"/>
    <s v="1263691023"/>
    <s v="HUNew_BGR4085-2"/>
    <s v="GUNUNG SINDUR BOGOR"/>
    <s v="GUNUNG SINDUR BOGOR"/>
    <s v="NEW BUILD"/>
    <s v="STIP 1"/>
    <s v="SMART8"/>
    <x v="0"/>
    <n v="2020"/>
    <s v="027829/TBG-TB/SMART8/MKT/11/2020"/>
    <d v="2020-11-23T00:00:00"/>
    <s v="-6.37713"/>
    <s v="106.659012"/>
    <s v="Kp.Gunung Sindur RT 003 RW 011 Desa Gunung Sindur Kec.Gunung Sindur Kab.Bogor Provinsi Jawa Barat"/>
    <s v="JABODETABEK (OUTER)"/>
    <x v="5"/>
    <s v="JAWA BARAT"/>
    <n v="42"/>
    <s v="PT. ORLIE INDONESIA"/>
    <x v="1"/>
    <s v="E"/>
    <n v="-6.3792"/>
    <n v="106.65586"/>
    <n v="52"/>
    <n v="45"/>
    <d v="2021-02-01T00:00:00"/>
    <s v="35/0.3"/>
    <m/>
    <s v="SST"/>
    <s v="GF"/>
    <s v="DONE"/>
    <x v="1"/>
    <e v="#VALUE!"/>
    <x v="11"/>
    <n v="115"/>
    <s v="DONE"/>
    <x v="1"/>
    <m/>
    <x v="1"/>
    <s v="RFC"/>
    <s v="[15.3.21] SOIL Test, rekom Done_x000a_[9.3.21] eskalasi approve by ARO, Kejar Rekom LC W2 Maret_x000a_[2.3.21] Eskalasi submit. high price, nego eskalasi_x000a_[26.2.21] Waiting Mitra submit eskalasi hari ini 26.2.21_x000a_[23.1.21] Re-hunting akibat penolakan warga. BA terlampir._x000a_[17.2.21] IW minus 1 orang, Plan IW clear 22.2.21_x000a_[14.2.21] IW minus 2 orang lagi_x000a_[6.2.21] IW minus 4 KK, LL lahan kosong berada di luar daerah_x000a_[1.2.21] Approval kandidat by operator, Follow Up IW_x000a_[26.1.21] Follow BA tertulis dari pergudangan Sigma Kartika Gunung Sindur hari ini_x000a_[28.12.20] Reject via siteforge, waiting internal review_x000a_[28.12.20] Resubmit kandidat B dengan JR_x000a_[22.12.20] Surat penolakan dari pergudangan, BAN Kandidat A dan B, Follow Up Approval SF_x000a_[14.12.20] proses Validasi SF_x000a_Validation to Candidat B 11.12.20_x000a_Candidate NY Approve 8.12.20_x000a_Submit Validasi 7.12.20"/>
    <s v="Rekom LC"/>
    <m/>
  </r>
  <r>
    <s v="0230613640231"/>
    <s v="1263661023"/>
    <s v="ZBGR_4610"/>
    <s v="GUNUNG SINDUR JAWA BARAT"/>
    <s v="GUNUNG SINDUR JAWA BARAT"/>
    <s v="NEW BUILD"/>
    <s v="STIP 1"/>
    <s v="SMART8"/>
    <x v="0"/>
    <n v="2020"/>
    <s v="027748/TBG-TB/SMART8/MKT/11/2020"/>
    <d v="2020-11-23T00:00:00"/>
    <s v="-6.3913"/>
    <s v="106.690697"/>
    <s v="Kp. Kemang RT 001/RW 007 Desa Cibinong, Kecamatan Gunung Sindur, Bogor"/>
    <s v="JABODETABEK (OUTER)"/>
    <x v="5"/>
    <s v="JAWA BARAT"/>
    <n v="42"/>
    <s v="PT. ORLIE INDONESIA"/>
    <x v="3"/>
    <s v="E"/>
    <n v="-6.3899800000000004"/>
    <n v="106.69394"/>
    <n v="52"/>
    <n v="45"/>
    <d v="2020-12-08T00:00:00"/>
    <s v="35/0.3"/>
    <d v="2020-12-08T00:00:00"/>
    <s v="SST"/>
    <s v="GF"/>
    <s v="DONE"/>
    <x v="1"/>
    <e v="#VALUE!"/>
    <x v="12"/>
    <n v="133"/>
    <s v="DONE"/>
    <x v="1"/>
    <m/>
    <x v="1"/>
    <s v="RFC"/>
    <s v="[30.3.21] Rekom Done_x000a_[24.3.21] Rekom Camat OG_x000a_[22.3.21] Realisasi Done, OG rekom LC plan finish 25.3.21 SOIL TEST done request_x000a_[18.3.21] Approval OK, Follow Up IW dan Rekom LC_x000a_[3.3.21] input siteforge waiting internal review batch 3_x000a_[23.2.21] Hard space, maksimal 25.2.21 submit new kandidat, take over mitra_x000a_[22.2.21] Submit New Kandidat, Kandidat E NOK Planning._x000a_[19.2.21] Soswar kandidat B_x000a_[16.2.21] Comcase Warga, geser titik kandidat yang sudah pernah diapprove, waiting Soswar Plan 19.2.21_x000a_[8.2.21] Rekom Camat_x000a_[5.2.1] Approve ARO Rekom LC OG_x000a_[2.2.21] Nego eskalasi SITAC_x000a_[1.2.21] Approval operator kandidat C_x000a_[22.1.21] Update status approval ke Planning SF, masih menunggu atasan planning approve_x000a_[4.1.21] Submit New Kandidat C via siteforge_x000a_[30.12.20] Kandidat B reject via siteforge. waiting internal review_x000a_[28.12.20] Validasi via siteforge kandidat B_x000a_[22.12.20] Takeover, Need New Mitra_x000a_[14.12.20] Rehunting Kandidat, 16.12.20 submit kandidat_x000a_IW OG, Renego BAN_x000a_RF validation Done, Candidat Approve_x000a_Submit Validasi 7.12.20"/>
    <s v="Waiting Update VP, Progres Lapangan Bowplank"/>
    <m/>
  </r>
  <r>
    <s v="0230613710231"/>
    <s v="1319321023"/>
    <s v="ZJKT2_5467"/>
    <s v="KOSAMBI BANTEN"/>
    <s v="KOSAMBI BANTEN"/>
    <s v="NEW BUILD"/>
    <s v="STIP 1"/>
    <s v="SMART8"/>
    <x v="0"/>
    <n v="2020"/>
    <s v="027755/TBG-TB/SMART8/MKT/11/2020"/>
    <d v="2020-11-23T00:00:00"/>
    <s v="-6.076241"/>
    <s v="106.688004"/>
    <s v="Kp. Rawa Lindung RT 07/RW 05, Desa Cengklong, Kecamatan Kosambi, Kabupaten Tangerang, Propinsi Banten"/>
    <s v="JABODETABEK (OUTER)"/>
    <x v="1"/>
    <s v="BANTEN"/>
    <n v="42"/>
    <s v="PT. DATATEL"/>
    <x v="1"/>
    <s v="D"/>
    <n v="-6.0774100000000004"/>
    <n v="106.68402"/>
    <m/>
    <m/>
    <m/>
    <m/>
    <m/>
    <s v="SST"/>
    <s v="GF"/>
    <d v="2021-06-18T00:00:00"/>
    <x v="6"/>
    <d v="2021-07-18T00:00:00"/>
    <x v="13"/>
    <n v="210"/>
    <s v="DONE"/>
    <x v="1"/>
    <m/>
    <x v="1"/>
    <s v="RFC"/>
    <s v="[4.6.21] Pengajuan email eskalasi ke ARO_x000a_[28.5.21] IW Clear kandidat D, waiting submit eskalasi SITAC_x000a_[24.5.21] approval operator kandidat D_x000a_[5.3.21] Validasi KKOP lewat pak alfian_x000a_[23.2.21] Submit Kandidat C tower height 42m_x000a_[11.2.21] Reject via siteforge, waiting internal review_x000a_[5.2.21] kandidat C Submitted, OG validasi by siteforge_x000a_[26.1.21] SITAC panti asuhan, surat tanah panti asuhan diminta_x000a_[22.12.20] BAN 19/tahun, SOSWAR OG_x000a_[21.12.20] BAN dengan Landlord_x000a_[14.12.20] Negosiasi by Phone oleh PM_x000a_Negosiasi harga dengan LL untuk Sewa"/>
    <s v="Waiting Internal Review"/>
    <s v="Approval Planning SF, SAR 3 need pak nimesh dan pak kelpa"/>
  </r>
  <r>
    <s v="0230613930231"/>
    <s v="1319351023"/>
    <s v="ZJKT2_6111"/>
    <s v="KOSAMBI TANGERANG"/>
    <s v="KOSAMBI TANGERANG"/>
    <s v="NEW BUILD"/>
    <s v="STIP 1"/>
    <s v="SMART8"/>
    <x v="0"/>
    <n v="2020"/>
    <s v="027777/TBG-TB/SMART8/MKT/11/2020"/>
    <d v="2020-11-23T00:00:00"/>
    <s v="-6.111795"/>
    <s v="106.649533"/>
    <s v="Kp Pintu Kapuk  Rt.028 Rw.011 Desa Bojong Renged Kecamatan Teluk Naga Kab. Tangerang_x000a_"/>
    <s v="JABODETABEK (OUTER)"/>
    <x v="1"/>
    <s v="BANTEN"/>
    <n v="42"/>
    <s v="PT. DWI SAMUDERA RAYA"/>
    <x v="1"/>
    <s v="A"/>
    <n v="-6.1077899999999996"/>
    <n v="106.64662"/>
    <n v="32"/>
    <m/>
    <m/>
    <m/>
    <m/>
    <s v="SST"/>
    <s v="GF"/>
    <s v="DONE"/>
    <x v="1"/>
    <e v="#VALUE!"/>
    <x v="14"/>
    <n v="140"/>
    <s v="DONE"/>
    <x v="1"/>
    <m/>
    <x v="1"/>
    <s v="RFC"/>
    <s v="[30.3.21] Rekom Done_x000a_[25.3.21] Rekom Lurah OG_x000a_[22.3.21] Realisasi OG, Plan Rekom LC 26.3.21_x000a_[16.3.21] Waiting Catra Update eskalasi SITAC_x000a_[10.3.21] Nego Eskalasi SITAC_x000a_[8.3.21] Eskalasi submit by mitra_x000a_[13.2.21] Harga lurah terlalu tinggi, nego  harga lurah _x000a_[9.2.21] Koordinasi lingkungan dan lurah_x000a_[4.2.21] IW OG, warga radius clear_x000a_[1.2.21] Approval kandidat by operator, Follow Up IW_x000a_[26.1.21] Follow Up Pak Dicky terkait miscomm hasil approval titik dan ketinggian. 32m hanya bisa di titik A_x000a_[4.1.21] Waiting internal review SF Planning_x000a_[22.12.20] Tanya Pak alfian soal KKOP dan Follup Approval SF (Pak Dicky)_x000a_[17.12.20] Submit approval kandidat via siteforge_x000a_[14.12.20] Proses konfirmasi lahan milik PT. AP_x000a_Candidate NY Approve_x000a_Submit Validasi 7.12.20"/>
    <s v="Waiting Update VP, Progres Lapangan Bowplank"/>
    <m/>
  </r>
  <r>
    <s v="0230614370231"/>
    <s v="1263681023"/>
    <s v="ZJKT2_4127"/>
    <s v="LIMO KOTA DEPOK"/>
    <s v="LIMO KOTA DEPOK"/>
    <s v="NEW BUILD"/>
    <s v="STIP 1"/>
    <s v="SMART8"/>
    <x v="0"/>
    <n v="2020"/>
    <s v="027822/TBG-TB/SMART8/MKT/11/2020"/>
    <d v="2020-11-23T00:00:00"/>
    <s v="-6.37966"/>
    <s v="106.77532"/>
    <s v="Jl. Mushola Darussalam RT. 001 / RW. 011, Kel Meruyung, Kec Limo, Kota Depok, Prov. Jawa barat"/>
    <s v="JABODETABEK (INNER)"/>
    <x v="0"/>
    <s v="JAWA BARAT"/>
    <n v="42"/>
    <s v="PT. DATATEL"/>
    <x v="1"/>
    <s v="E"/>
    <n v="-6.3784200000000002"/>
    <n v="106.77542"/>
    <n v="32"/>
    <n v="30.5"/>
    <d v="2020-12-08T00:00:00"/>
    <m/>
    <m/>
    <s v="SST"/>
    <s v="GF"/>
    <d v="2021-05-17T00:00:00"/>
    <x v="7"/>
    <d v="2021-06-16T00:00:00"/>
    <x v="15"/>
    <n v="189"/>
    <s v="DONE"/>
    <x v="1"/>
    <m/>
    <x v="1"/>
    <s v="RFC"/>
    <s v="[27.2.21] Kandidat failed high price_x000a_[23.2.21] Submit kandidat validasi to RANE_x000a_[19.2.21] Take over Mitra, submit kandidat 21.2.21 _x000a_[7.2.21] IW failed_x000a_[1.2.21] Approval kandidat by operator, Follow Up IW_x000a_[26.1.21] Follow up titik dengan ketinggian di 42m_x000a_[22.12.20] Follow Up Approval ke Smarfren_x000a_[17.12.20] Resubmit kandidat via siteforge_x000a_[14.12.20] Proses Validasi SF_x000a_Submit kandidat A 11.12.20"/>
    <s v="Re-hunting lahan"/>
    <m/>
  </r>
  <r>
    <s v="0230613590231"/>
    <s v="1263621023"/>
    <s v="ZBDG_5616"/>
    <s v="PARUNG KUDA SUKABUMI"/>
    <s v="PARUNG KUDA SUKABUMI"/>
    <s v="NEW BUILD"/>
    <s v="STIP 1"/>
    <s v="SMART8"/>
    <x v="0"/>
    <n v="2020"/>
    <s v="027743/TBG-TB/SMART8/MKT/11/2020"/>
    <d v="2020-11-23T00:00:00"/>
    <s v="-6.868283"/>
    <s v="106.770666"/>
    <s v="Jl. Raya Siliwangi RT 30 RW 12, Desa Sundawenang, Kec. Parung Kuda, Kabupaten Sukabumi"/>
    <s v="JABODETABEK (OUTER)"/>
    <x v="15"/>
    <s v="JAWA BARAT"/>
    <n v="52"/>
    <s v="PT. DWI SAMUDERA RAYA"/>
    <x v="3"/>
    <s v="E"/>
    <n v="-6.8682999999999996"/>
    <n v="106.76854"/>
    <n v="52"/>
    <m/>
    <m/>
    <m/>
    <m/>
    <s v="SST"/>
    <s v="GF"/>
    <e v="#N/A"/>
    <x v="2"/>
    <e v="#N/A"/>
    <x v="16"/>
    <n v="147"/>
    <s v="DONE"/>
    <x v="1"/>
    <m/>
    <x v="1"/>
    <s v="RFC"/>
    <s v="[24.3.21] Rekom Camat Done_x000a_[17.3.21] Waiting Rekom LC dan SOIL TEST_x000a_[8.3.21] Eskalasi approve, IW done_x000a_[4.3.21] Eskalasi reject, need nego_x000a_[2.3.21] Approval eskalasi to ARO_x000a_[22.2.21] IW Clear, Kades dan Camat Clear waiting eskalasi submit_x000a_[18.2.21] Nego Kades, RT, RW. permintaan tinggi_x000a_[3.2.21] IW OG_x000a_[26.1.21] Submit siteforge kandidat, Mitra IW di proses_x000a_[5.1.21] Resubmit kandidat B_x000a_[29.12.21] Rehunting kandidat SAR, Kandidat OutSAR Rejected via siteforge_x000a_[22.12.20] Kandidat A Not Accepted by TBG, Re-Hunting, Ada lahan refrensi dari KADES. Follow Up harga PT DAEHAN_x000a_[18.12.20] Validasi kandidat via siteforge_x000a_[17.12.20] Mitra submit kandidat, need check RTRW_x000a_[15.12.20] Re-hunting lahan_x000a_[14.12.20] Proses konfirmasi lahan desa, Submit TSSR/Kandidat to PM 15.12.20_x000a_[10.12.20] take over BNP ke DSR_x000a_NY Kandidat"/>
    <s v="Waiting Update VP, Progres Lapangan Bowplank"/>
    <m/>
  </r>
  <r>
    <s v="0230613830231"/>
    <s v="1319341023"/>
    <s v="ZJKT2_6085"/>
    <s v="PERIUK KOTA TANGERANG"/>
    <s v="PERIUK KOTA TANGERANG"/>
    <s v="NEW BUILD"/>
    <s v="STIP 1"/>
    <s v="SMART8"/>
    <x v="0"/>
    <n v="2020"/>
    <s v="027767/TBG-TB/SMART8/MKT/11/2020"/>
    <d v="2020-11-23T00:00:00"/>
    <s v="-6.16775"/>
    <s v="106.59571"/>
    <s v="Perumahan Mutiara Pluit Blok C6 No.38 RT02 RW11 Kelurahan Periuk  Kecamatan Periuk Kota Tangerang Provinsi Banten"/>
    <s v="JABODETABEK (INNER)"/>
    <x v="8"/>
    <s v="BANTEN"/>
    <n v="42"/>
    <s v="PT. DWI PILAR PRATAMA"/>
    <x v="6"/>
    <s v="D"/>
    <n v="-6.1679000000000004"/>
    <n v="106.59617"/>
    <n v="42"/>
    <m/>
    <m/>
    <m/>
    <m/>
    <s v="SST"/>
    <s v="GF"/>
    <e v="#N/A"/>
    <x v="2"/>
    <e v="#N/A"/>
    <x v="0"/>
    <n v="386"/>
    <m/>
    <x v="0"/>
    <e v="#N/A"/>
    <x v="4"/>
    <s v="Rekom Lurah Camat"/>
    <s v="[26.1.21] Hunting di jalan villa mutiara pluit, BA hasil nego dengan developer soal titik kandidat, mencari info lahan sebelah barat NOM_x000a_[4.1.21] Validasi kandidat A dan B melalui siteforge_x000a_[30.12.20] Submit JR &amp; TSSR_x000a_[22.12.20] Takeover, Need New Mitra_x000a_[14.12.20] Update hasil re-hunting kandidat, 16.12.20 dapat kandidat_x000a_Candidate NY Approve_x000a_Submit Validasi 7.12.20"/>
    <s v="IW site permanent dan COMBAT. Site permanent rooftop dengan 10m+25m. Paralel nego ke planning"/>
    <m/>
  </r>
  <r>
    <s v="0230613750231"/>
    <s v="1319331023"/>
    <s v="ZJKT2_5468"/>
    <s v="TIGARAKSA TANGERANG 2"/>
    <s v="TIGARAKSA TANGERANG 2"/>
    <s v="NEW BUILD"/>
    <s v="STIP 1"/>
    <s v="SMART8"/>
    <x v="0"/>
    <n v="2020"/>
    <s v="027759/TBG-TB/SMART8/MKT/11/2020"/>
    <d v="2020-11-23T00:00:00"/>
    <s v="-6.243617"/>
    <s v="106.478106"/>
    <s v="Kp Matagara RT 02 RW 02, Desa Matagara, Kecamatan Tigaraksa, Kabupaten Tangerang"/>
    <s v="JABODETABEK (OUTER)"/>
    <x v="1"/>
    <s v="BANTEN"/>
    <n v="42"/>
    <s v="PT. ORLIE INDONESIA"/>
    <x v="1"/>
    <s v="D"/>
    <n v="-6.2440600000000002"/>
    <n v="106.48057"/>
    <n v="52"/>
    <n v="40"/>
    <d v="2020-12-08T00:00:00"/>
    <s v="35/0.3"/>
    <d v="2020-12-08T00:00:00"/>
    <s v="SST"/>
    <s v="GF"/>
    <d v="2021-07-15T00:00:00"/>
    <x v="8"/>
    <d v="2021-08-14T00:00:00"/>
    <x v="17"/>
    <n v="231"/>
    <s v="DONE"/>
    <x v="1"/>
    <m/>
    <x v="1"/>
    <s v="RFC"/>
    <s v="[21.6.21] Approval Siteforge_x000a_[4.6.21] Submit titik kandidat D ke siteforge_x000a_[23.5.21] Switch Mitra ke Orlie_x000a_[4.2.21] Reject via siteforge, waiting internal review_x000a_[3.2.21] Submitted kandidat to siteforge_x000a_[2.2.21] New Kandidat submit, need discuss with Planning_x000a_[26.1.21] Take over mitra_x000a_[22.12.20] Submit Re-Hunting mitra, Target 24.12.20, paralel Mitra Pengkondisian Kandidat A_x000a_[19.12.20] Bertemu ketua lingkungan , pembahasan planning soswar_x000a_[14.12.20] Proses validasi SF, Paralel IW follow up SOSWAR 17.12.20_x000a_Submit Validasi 7.12.20"/>
    <s v="Waiting Internal Review"/>
    <s v="Approval Planning SF, SAR 3 need pak nimesh dan pak kelpa"/>
  </r>
  <r>
    <s v="0230613570231"/>
    <s v="1319311023"/>
    <s v="IN20_JB_1136"/>
    <s v="WALANTAKA KOTA SERANG"/>
    <s v="WALANTAKA KOTA SERANG"/>
    <s v="NEW BUILD"/>
    <s v="STIP 1"/>
    <s v="SMART8"/>
    <x v="0"/>
    <n v="2020"/>
    <s v="027741/TBG-TB/SMART8/MKT/11/2020"/>
    <d v="2020-11-23T00:00:00"/>
    <s v="-6.179163"/>
    <s v="106.226535"/>
    <s v="Kp. Kadu Buntung, RT 003/RW 004, Desa Silebu, Kec. Kragilan, Kab Serang"/>
    <s v="JABODETABEK (OUTER)"/>
    <x v="16"/>
    <s v="BANTEN"/>
    <n v="52"/>
    <s v="PT. BANJARPASIR NUSA PRATAMA"/>
    <x v="1"/>
    <s v="C"/>
    <n v="-6.1811499999999997"/>
    <n v="106.22681"/>
    <n v="52"/>
    <n v="44"/>
    <d v="2020-12-22T00:00:00"/>
    <s v="35/0.3"/>
    <d v="2020-12-22T00:00:00"/>
    <s v="SST"/>
    <s v="GF"/>
    <s v="DONE"/>
    <x v="1"/>
    <e v="#VALUE!"/>
    <x v="18"/>
    <n v="52"/>
    <s v="DONE"/>
    <x v="2"/>
    <m/>
    <x v="1"/>
    <s v="RFC"/>
    <s v="[14.1.21] RFC_x000a_[5.1.21] Rekom Camat Done. _x000a_[4.1.21] Rekom LC OG, Plan Rekom Done 8.1.21_x000a_[28.12.20] Approval ARO done, Follow Up BNP IW Done_x000a_[22.12.20] Kandidat approve, plan submit eskalasi 22.12.20_x000a_[18.12.20] Approval kandidat via siteforge_x000a_[17.12.20] Mitra submit new kandidat_x000a_[14.12.20] Kandidat B,  IW failed, plan IW paralel nego kandidat A 16.12.20_x000a_IW On Going"/>
    <s v="Follow Up update VP BNP, Follow Up APD ke Pak Virma"/>
    <m/>
  </r>
  <r>
    <s v="0230560290231"/>
    <s v="1317281023"/>
    <s v="ZJKT2_4285"/>
    <s v="CIPONDOH KOTA TANGERANG"/>
    <s v="CIPONDOH KOTA TANGERANG"/>
    <s v="NEW BUILD"/>
    <s v="STIP 1"/>
    <s v="SMART8"/>
    <x v="0"/>
    <n v="2020"/>
    <s v="016842/TBG-TB/SMART8/MKT/12/2019"/>
    <d v="2020-11-30T00:00:00"/>
    <s v="-6.18155"/>
    <n v="106.67238999999999"/>
    <s v="Jl. Tugu Karya 2, Kp. Sambi Doyong, RT 02/01, Kel. Cipondoh Makmur, Kec. Cipondoh, Kota Tangerang, Prov. Banten"/>
    <s v="JABODETABEK (INNER)"/>
    <x v="8"/>
    <s v="BANTEN"/>
    <n v="25"/>
    <s v="PT. DWI SAMUDERA RAYA"/>
    <x v="3"/>
    <m/>
    <n v="-6.1821700000000002"/>
    <n v="106.67230000000001"/>
    <n v="32"/>
    <m/>
    <m/>
    <m/>
    <m/>
    <s v="SST"/>
    <s v="GF"/>
    <s v="DONE"/>
    <x v="1"/>
    <e v="#VALUE!"/>
    <x v="19"/>
    <n v="116"/>
    <s v="DONE"/>
    <x v="1"/>
    <m/>
    <x v="1"/>
    <s v="RFC"/>
    <s v="[12.3.21] Antenna Height Approve, Rekom LC OG_x000a_[10.3.21] Waiting approval to siteforge, By WA done_x000a_[15.2.21] Need Follow Up Planning validasi antenna_x000a_[5.2.21] Rekom LC OG, approval eskalasi done_x000a_[26.1.21] Eskalasi IW_x000a_[4.1.21] Reject Eskalasi, waiting submit eskalasi mitra 7.1.21_x000a_[23.12.20] Eskalasi Mitra NY, Follow Up_x000a_[20.12.20] Bertemu RT/RW, plan Submit eskalasi 22.12.20_x000a_[16.12.20] Propose DSR, Sabtu plan ketemu RT_x000a_[14.12.20] Follow Negosiasi harga max 200jt 11 Tahun._x000a_[8.12.20] Plan hari senin IW ulang, Renego BAN"/>
    <s v="Aktual Done CME, OG update system"/>
    <m/>
  </r>
  <r>
    <s v="0230615270231"/>
    <s v="1263821023"/>
    <s v="ZBGR_4261"/>
    <s v="BOGOR UTARA KOTA BOGOR"/>
    <s v="BOGOR UTARA KOTA BOGOR"/>
    <s v="NEW BUILD"/>
    <s v="STIP 1"/>
    <s v="SMART8"/>
    <x v="0"/>
    <n v="2020"/>
    <s v="028045/TBG-TB/SMART8/MKT/12/2020"/>
    <d v="2020-12-08T00:00:00"/>
    <n v="-6.5403039999999999"/>
    <n v="106.814931"/>
    <m/>
    <s v="JABODETABEK (OUTER)"/>
    <x v="12"/>
    <s v="JAWA BARAT"/>
    <n v="42"/>
    <m/>
    <x v="5"/>
    <m/>
    <m/>
    <m/>
    <m/>
    <m/>
    <m/>
    <m/>
    <m/>
    <m/>
    <m/>
    <e v="#N/A"/>
    <x v="2"/>
    <e v="#N/A"/>
    <x v="0"/>
    <n v="371"/>
    <m/>
    <x v="0"/>
    <e v="#N/A"/>
    <x v="2"/>
    <s v="DROP"/>
    <s v="[21.5.21] Clinic with SF_x000a_[12.5.21] Submit New Kandidat_x000a_[11.2.21] Jovis with SF_x000a_[4.2.21] Kandidat B dan C submitted by mitra, need check material minaret_x000a_[26.1.21] Datangi developer untuk pengajuan kerja sama menara telekomunikasi_x000a_[5.1.21] Resubmit siteforge_x000a_[22.12.20] Mitra submit kandidat baru maksimal 24.12.20_x000a_[14.12.20] Plan Submit Kandidat 14.12.20_x000a_NY Kandidat"/>
    <s v="Follow Up by Pak Kamto"/>
    <m/>
  </r>
  <r>
    <s v="0230615380231"/>
    <s v="1263831023"/>
    <s v="ZBGR_4605"/>
    <s v="CIBUNGBULANG BOGOR 2"/>
    <s v="CIBUNGBULANG BOGOR 2"/>
    <s v="NEW BUILD"/>
    <s v="STIP 1"/>
    <s v="SMART8"/>
    <x v="0"/>
    <n v="2020"/>
    <s v="028056/TBG-TB/SMART8/MKT/12/2020"/>
    <d v="2020-12-08T00:00:00"/>
    <s v="-6.585862"/>
    <s v="106.66486"/>
    <s v="Jl. Kapten Dasuki Bakri RT 001 RW 01 Cibatok II, Kecamatan Cibungbulang, Kabupaten Bogor"/>
    <s v="JABODETABEK (OUTER)"/>
    <x v="5"/>
    <s v="JAWA BARAT"/>
    <n v="52"/>
    <s v="PT. ORLIE INDONESIA"/>
    <x v="3"/>
    <s v="B"/>
    <n v="-6.5859699999999997"/>
    <n v="106.66284"/>
    <n v="62"/>
    <n v="55"/>
    <d v="2021-02-03T00:00:00"/>
    <s v="30/0.9"/>
    <d v="2021-02-03T00:00:00"/>
    <s v="SST"/>
    <s v="GF"/>
    <s v="DONE"/>
    <x v="1"/>
    <e v="#VALUE!"/>
    <x v="20"/>
    <n v="97"/>
    <s v="DONE"/>
    <x v="1"/>
    <m/>
    <x v="1"/>
    <s v="RFC"/>
    <s v="[12.3.21] RFC_x000a_[7.3.21] waiting soil test and APD_x000a_[4.3.21] Go Realisasi IW dan Rekom_x000a_[26.2.21] Issue by LL, solving w1 Maret_x000a_[21.2.21] Eskalasi approve ARO, realisasi + Rekom LC 14 hari_x000a_[18.2.21] Submit eskalasi to ARO_x000a_[15.2.21] Renego eskalasi_x000a_[8.2.21] Renego eskalasi SITAC_x000a_[26.1.21] Submit siteforge tinggi 52, GO SITAC di 62m_x000a_[29.12.20] Validasi via Siteforge 22.12.20, BA IW dijalankan _x000a_[16.12.20] Mitra submit kandidat_x000a_[14.12.20] Plan Submit Kandidat 14.12.20_x000a_NY Kandidat"/>
    <m/>
    <m/>
  </r>
  <r>
    <s v="0030615460031"/>
    <n v="1129561003"/>
    <s v="JAW-JK-TJP-0653"/>
    <s v="POLE_KAWASAN_INDUSTRI_RELOCATION"/>
    <s v="POLE_KAWASAN_INDUSTRI_RELOCATION"/>
    <s v="NEW MCP NON FO"/>
    <s v="STIP 1"/>
    <s v="XL"/>
    <x v="0"/>
    <n v="2020"/>
    <s v="028066/TBG-TB/XL/MKT/12/2020"/>
    <d v="2020-12-08T00:00:00"/>
    <s v="-6.100736"/>
    <s v="106.715155"/>
    <m/>
    <s v="JABODETABEK (INNER)"/>
    <x v="10"/>
    <s v="DKI JAKARTA"/>
    <n v="20"/>
    <s v="PT. KARYA LINTAS SEJAHTERA"/>
    <x v="1"/>
    <s v="D"/>
    <n v="-6.10168"/>
    <n v="106.71572"/>
    <n v="20"/>
    <m/>
    <m/>
    <m/>
    <m/>
    <m/>
    <m/>
    <s v="DONE"/>
    <x v="1"/>
    <e v="#VALUE!"/>
    <x v="21"/>
    <n v="31"/>
    <s v="DONE"/>
    <x v="2"/>
    <m/>
    <x v="1"/>
    <s v="RFC"/>
    <s v="[4.1.21] IW, Done, rekom LC plan 10.1.21_x000a_[24.12.20] Approval kandidat D dan E, KLS Follow Up_x000a_Need Approval Operator"/>
    <s v="Follow Up SUPER RFC untuk naik RFC"/>
    <m/>
  </r>
  <r>
    <s v="0230618470231 "/>
    <n v="1264091023"/>
    <s v="INJB21_0218"/>
    <s v="LEUWILIANG BOGOR"/>
    <s v="LEUWILIANG BOGOR"/>
    <s v="NEW BUILD"/>
    <s v="STIP 1"/>
    <s v="SMART8"/>
    <x v="0"/>
    <n v="2020"/>
    <m/>
    <d v="2020-12-30T00:00:00"/>
    <n v="-6.5819799999999997"/>
    <n v="106.629476"/>
    <s v="Kp. Banyusuci RT. 004 RW. 004 Desa leuwimekar kec. Leuwiliang kab. Bogor"/>
    <s v="JABODETABEK (OUTER)"/>
    <x v="5"/>
    <s v="JAWA BARAT"/>
    <n v="52"/>
    <s v="PT. ORLIE INDONESIA"/>
    <x v="3"/>
    <s v="E"/>
    <n v="-6.5833399999999997"/>
    <n v="106.63543"/>
    <s v="62m"/>
    <m/>
    <m/>
    <m/>
    <m/>
    <m/>
    <m/>
    <d v="2021-08-05T00:00:00"/>
    <x v="9"/>
    <d v="2021-08-30T00:00:00"/>
    <x v="22"/>
    <n v="218"/>
    <s v="DONE"/>
    <x v="1"/>
    <n v="218"/>
    <x v="1"/>
    <s v="RFC"/>
    <s v="[15.7.21] IW Done, Rekom waiting 1 week_x000a_[25.3.21] Rekom Lurah On Going_x000a_[16.3.21] Approval eskalasi Done, Request Soil done_x000a_[3.3.21] Nego harga sitac lapangan_x000a_[23.2.21] Waiting eskalasi submit by mitra, pengajuan geser sedikit 15m to RANE_x000a_[18.2.21] Submit Kandidat C to Siteforge_x000a_[11.2.21] Jovis with SF_x000a_[4.2.21] Kandidat C submitted by mitra OG validation siteforge_x000a_[26.1.21] Take over mitra_x000a_[30.12.20] STIP Input, Mitra assignment"/>
    <m/>
    <s v="Re-Hunting kandidat"/>
  </r>
  <r>
    <s v="0230618500231"/>
    <n v="1264121023"/>
    <s v="IN20_JB_1421"/>
    <s v="PARUNG PANJANG GOROWONG"/>
    <s v="PARUNG PANJANG GOROWONG"/>
    <s v="NEW BUILD"/>
    <s v="STIP 1"/>
    <s v="SMART8"/>
    <x v="0"/>
    <n v="2020"/>
    <m/>
    <d v="2020-12-30T00:00:00"/>
    <n v="-6.3789730000000002"/>
    <n v="106.55484300000001"/>
    <s v="Jl. Kp. Lebak Ciung, Rt.14 Rw.01, Desa Gorowong, Kec. Parung Panjang, Kab. Bogor"/>
    <s v="JABODETABEK (OUTER)"/>
    <x v="5"/>
    <s v="JAWA BARAT"/>
    <n v="62"/>
    <s v="PT. ROTUA"/>
    <x v="3"/>
    <s v="C"/>
    <n v="-6.37906"/>
    <n v="106.55474"/>
    <n v="62"/>
    <m/>
    <m/>
    <m/>
    <m/>
    <m/>
    <m/>
    <d v="2021-05-14T00:00:00"/>
    <x v="10"/>
    <d v="2021-06-13T00:00:00"/>
    <x v="23"/>
    <n v="126"/>
    <s v="DONE"/>
    <x v="1"/>
    <m/>
    <x v="1"/>
    <s v="RFC"/>
    <s v="[29.3.21] Rekom Done, Start Gali_x000a_[17.3.21] Waiting Rekom LC dan SOIL TEST_x000a_[15.3.21] Approve eskalasi. IW done_x000a_[12.3.21] Approval SF done_x000a_[8.3.21] Submit kandidat by siteforge_x000a_[26.2.21] Kandidat sebelumnya Surat tanah palsu. Submit kandidat baru 26.2.21 ke siteforge_x000a_[3.2.21] Renego eskalasi SITAC_x000a_[26.1.21] BAN 20 jt/tahun plan submit eskalasi 26 Jan 21_x000a_[19.1.21] Validasi Done Kand A_x000a_[30.12.20] STIP Input, Mitra assignment"/>
    <s v="Waiting Update VP, Progres Lapangan Galian OG"/>
    <m/>
  </r>
  <r>
    <s v="0230618480231"/>
    <n v="1264101023"/>
    <s v="INJB21_0538"/>
    <s v="TENJOLAYA BOGOR"/>
    <s v="TENJOLAYA BOGOR"/>
    <s v="NEW BUILD"/>
    <s v="STIP 1"/>
    <s v="SMART8"/>
    <x v="0"/>
    <n v="2020"/>
    <m/>
    <d v="2020-12-30T00:00:00"/>
    <n v="-6.6588070000000004"/>
    <n v="106.714144"/>
    <s v="Kp. Pasir Gaok RT. 01 RW. 04 Desa. Gunung Malang Kec. Tenjolaya Kab. Bogor"/>
    <s v="JABODETABEK (OUTER)"/>
    <x v="5"/>
    <s v="JAWA BARAT"/>
    <n v="52"/>
    <s v="PT. DATATEL"/>
    <x v="3"/>
    <s v="A"/>
    <n v="-6.6587100000000001"/>
    <n v="106.71405"/>
    <n v="52"/>
    <n v="50"/>
    <d v="2021-01-18T00:00:00"/>
    <s v="35/0.3"/>
    <d v="2021-01-19T00:00:00"/>
    <m/>
    <m/>
    <s v="DONE"/>
    <x v="1"/>
    <e v="#VALUE!"/>
    <x v="24"/>
    <n v="58"/>
    <s v="DONE"/>
    <x v="2"/>
    <m/>
    <x v="1"/>
    <s v="RFC"/>
    <s v="[26.2.21] RFC_x000a_[23.2.21] Rekom Camat Done, waiting update VP and system_x000a_[19.2.21] Rekom Lurah Done, Soil Test Done_x000a_[10.2.21] Eskalasi Approve, Rekom LC OG_x000a_[3.2.21] Renego eskalasi SITAC_x000a_[26.1.21] IW OG 18KK dari 22KK, BAN 17jt tahun. Plan submit eskalasi 28 Jan 21_x000a_[19.1.21] Validasi Done Kand A_x000a_[30.12.20] STIP Input, Mitra assignment"/>
    <s v="[19.1.21] Validasi Done, Kandidat A Approve."/>
    <m/>
  </r>
  <r>
    <s v="0230618490231"/>
    <n v="1264111023"/>
    <s v="HUNew_BDG4716-2"/>
    <s v="WARUNG KIARA SUKABUMI"/>
    <s v="WARUNG KIARA SUKABUMI"/>
    <s v="NEW BUILD"/>
    <s v="STIP 1"/>
    <s v="SMART8"/>
    <x v="0"/>
    <n v="2020"/>
    <m/>
    <d v="2020-12-30T00:00:00"/>
    <n v="-6.9987149999999998"/>
    <n v="106.71767699999999"/>
    <s v="Kp. Cilandak RT. 02/04 Desa. Sirnajaya Kec. Warung Kiara Kab. Sukabumi"/>
    <s v="JABODETABEK (OUTER)"/>
    <x v="15"/>
    <s v="JAWA BARAT"/>
    <n v="62"/>
    <s v="PT. DATATEL"/>
    <x v="3"/>
    <s v="B"/>
    <n v="-7.00075"/>
    <n v="106.718"/>
    <n v="62"/>
    <n v="60.5"/>
    <m/>
    <m/>
    <m/>
    <m/>
    <m/>
    <s v="DONE"/>
    <x v="1"/>
    <e v="#VALUE!"/>
    <x v="25"/>
    <n v="69"/>
    <s v="DONE"/>
    <x v="2"/>
    <m/>
    <x v="1"/>
    <s v="RFC"/>
    <s v="[3.3.21] Rekom Lurah Camat Done, waiting APD Design._x000a_[24.2.21] Realisasi by mitra_x000a_[21.2.21] Eskalasi approve ARO, realisasi + Rekom LC 14 hari_x000a_[18.2.21] Submit eskalasi to ARO_x000a_[10.2.21] Reject eskalasi, Renego BAN_x000a_[6.2.21] Reject ekalasi_x000a_[3.2.21] Renego eskalasi SITAC_x000a_[25.1.21] Validasi Done Kand B, BAN 15 juta/tahun_x000a_[30.12.20] STIP Input, Mitra assignment"/>
    <m/>
    <m/>
  </r>
  <r>
    <s v="0010622740011"/>
    <s v="1319661001"/>
    <s v="TGR238"/>
    <s v="BENCONGANKELAPADUA"/>
    <s v="BENCONGANKELAPADUA"/>
    <s v="NEW BUILD"/>
    <s v="STIP 1"/>
    <s v="TSEL"/>
    <x v="0"/>
    <m/>
    <s v="030796/TBG-TB/TSEL/MKT/03/2021"/>
    <d v="2021-03-04T00:00:00"/>
    <n v="-6.2402499999999996"/>
    <n v="106.60124"/>
    <s v="Kp Cibogo Kulon RT 001 RW 002, Desa Kelapa Dua, Kecamatan Kelapa Dua, Kab. Tangerang"/>
    <s v="JABODETABEK (OUTER)"/>
    <x v="1"/>
    <s v="BANTEN"/>
    <n v="42"/>
    <m/>
    <x v="6"/>
    <s v="S"/>
    <n v="-6.2424799999999996"/>
    <n v="106.60701"/>
    <n v="20"/>
    <m/>
    <m/>
    <m/>
    <m/>
    <m/>
    <m/>
    <e v="#N/A"/>
    <x v="2"/>
    <e v="#N/A"/>
    <x v="26"/>
    <n v="271"/>
    <s v="DONE"/>
    <x v="1"/>
    <e v="#N/A"/>
    <x v="1"/>
    <s v="RFI"/>
    <s v="[14.6.21] Go SITAC kandidat luar SAR BNP. SST 52m_x000a_[1.3.21] Pengajuan ke PWU selaku penanggung jawab telekomunikasi Lippo Village_x000a_[24.2.21] Penawaran ke Lippo Village_x000a_[23.2.21] Penawaran ke water treatment plant NOK. Waiting marketing LippoKarawaci_x000a_[22.2.21] Kandidat NOK"/>
    <s v="Done RFI site COLO"/>
    <m/>
  </r>
  <r>
    <s v="0010622720011"/>
    <s v="1319651001"/>
    <s v="RKB069"/>
    <s v="CURUGBADAKMAJA"/>
    <s v="CURUGBADAKMAJA"/>
    <s v="NEW BUILD"/>
    <s v="STIP 1"/>
    <s v="TSEL"/>
    <x v="0"/>
    <m/>
    <s v="030794/TBG-TB/TSEL/MKT/03/2021"/>
    <d v="2021-03-04T00:00:00"/>
    <n v="-6.3446499999999997"/>
    <n v="106.38037"/>
    <s v="Kp. Ciganjur RT 001 RW 005 Kelurahan Curugbadak Kecamatan Maja Kabupaten Lebak"/>
    <s v="JABODETABEK (OUTER)"/>
    <x v="17"/>
    <s v="BANTEN"/>
    <n v="52"/>
    <s v="PT. KARYA LINTAS SEJAHTERA"/>
    <x v="1"/>
    <s v="Q"/>
    <n v="-6.3455300000000001"/>
    <n v="106.37975"/>
    <s v="52m"/>
    <m/>
    <m/>
    <m/>
    <m/>
    <m/>
    <m/>
    <s v="DONE"/>
    <x v="1"/>
    <e v="#VALUE!"/>
    <x v="27"/>
    <n v="42"/>
    <s v="DONE"/>
    <x v="2"/>
    <m/>
    <x v="1"/>
    <s v="RFC"/>
    <s v="[30.3.21] Eskalasi Approve by ARO_x000a_[22.3.21] Validation OK, IW Clear, pengajuan eskalasi by mitra_x000a_[18.3.21] Validasi to RANE TSEL Kand Q_x000a_[9.3.21] Menunggu pihak developer untuk mejawab IW_x000a_[8.3.21] Menemui pihak developer untuk meminta jawaban atas ijin warga dan juga ijin developer_x000a_[3.3.21] IW Kurang 15 KK (Warga Cluster Baru)_x000a_[22.2.21] Kandidat OK by TSEL IW OG"/>
    <m/>
    <m/>
  </r>
  <r>
    <s v="0010622750011"/>
    <s v="1264691001"/>
    <s v="CBN436"/>
    <s v="CURUGBITUNGNANGGUNG"/>
    <s v="CURUGBITUNGNANGGUNG"/>
    <s v="NEW BUILD"/>
    <s v="STIP 1"/>
    <s v="TSEL"/>
    <x v="0"/>
    <m/>
    <s v="030797/TBG-TB/TSEL/MKT/03/2021"/>
    <d v="2021-03-04T00:00:00"/>
    <n v="-6.6297920000000001"/>
    <n v="106.542109"/>
    <s v="Kp. Situhiang RT 001 RW 005 Desa Curugbitung Kecamatan Nanggung Kabupaten Bogor"/>
    <s v="JABODETABEK (OUTER)"/>
    <x v="5"/>
    <s v="JAWA BARAT"/>
    <n v="52"/>
    <s v="PT. BANJARPASIR NUSA PRATAMA"/>
    <x v="3"/>
    <s v="V"/>
    <n v="-6.6285100000000003"/>
    <n v="106.54255999999999"/>
    <s v="52m"/>
    <m/>
    <m/>
    <m/>
    <m/>
    <m/>
    <m/>
    <s v="DONE"/>
    <x v="1"/>
    <e v="#VALUE!"/>
    <x v="28"/>
    <n v="41"/>
    <s v="DONE"/>
    <x v="2"/>
    <m/>
    <x v="1"/>
    <s v="RFC"/>
    <s v="[6.4.21] Eskalasi SITAC submit_x000a_[5.4.21] Kandidat V OK from RANE_x000a_[26.3.21] Approval kandidat V to RANE_x000a_[22.3.21] Candidate U OK from planning, IW On Going_x000a_[19.3.21] Candidate T dan U submit_x000a_[9.3.21] Re-hunting kandidat. Kandidat Q failed IW_x000a_[3.3.21] IW kurang 15 KK akibat pergeseran kandidat LP2B._x000a_[22.2.21] Kandidat OK by TSEL IW OG"/>
    <m/>
    <m/>
  </r>
  <r>
    <s v="0010622730011"/>
    <s v="1264681001"/>
    <s v="SKB204"/>
    <s v="PASAR CISAATSKB"/>
    <s v="PASAR CISAATSKB"/>
    <s v="NEW BUILD"/>
    <s v="STIP 1"/>
    <s v="TSEL"/>
    <x v="0"/>
    <m/>
    <s v="030795/TBG-TB/TSEL/MKT/03/2021"/>
    <d v="2021-03-04T00:00:00"/>
    <n v="-6.90022"/>
    <n v="106.89327"/>
    <m/>
    <s v="JABODETABEK (OUTER)"/>
    <x v="15"/>
    <s v="JAWA BARAT"/>
    <n v="52"/>
    <s v="PT. BANJARPASIR NUSA PRATAMA"/>
    <x v="1"/>
    <s v="R"/>
    <n v="-6.90022"/>
    <n v="106.89327"/>
    <n v="52"/>
    <m/>
    <m/>
    <m/>
    <m/>
    <m/>
    <m/>
    <s v="DONE"/>
    <x v="1"/>
    <e v="#VALUE!"/>
    <x v="29"/>
    <n v="8"/>
    <s v="DONE"/>
    <x v="2"/>
    <m/>
    <x v="1"/>
    <s v="RFC"/>
    <s v="[9.3.21] RFC done, update system_x000a_[1.3.21] IW Clear, OG Rekom LC_x000a_[15.2.21] Waiting mitra submit eskalasi"/>
    <m/>
    <m/>
  </r>
  <r>
    <s v="0010622710011"/>
    <s v="1319641001"/>
    <s v="SRG269"/>
    <s v="PERMANENTCOMBATCIKANDEPERMAI"/>
    <s v="PERMANENTCOMBATCIKANDEPERMAI"/>
    <s v="NEW BUILD"/>
    <s v="STIP 1"/>
    <s v="TSEL"/>
    <x v="0"/>
    <m/>
    <s v="030793/TBG-TB/TSEL/MKT/03/2021"/>
    <d v="2021-03-04T00:00:00"/>
    <n v="-6.2235899999999997"/>
    <n v="106.34509"/>
    <s v="Kp. Kalutuk RT 007 RW 003 Desa Cikande Permai Kecamatan Cikande Kabupaten Serang"/>
    <s v="JABODETABEK (OUTER)"/>
    <x v="14"/>
    <s v="BANTEN"/>
    <n v="42"/>
    <s v="PT. BANJARPASIR NUSA PRATAMA"/>
    <x v="1"/>
    <s v="P"/>
    <n v="-6.2235899999999997"/>
    <n v="106.34509"/>
    <n v="42"/>
    <m/>
    <m/>
    <m/>
    <m/>
    <m/>
    <m/>
    <s v="DONE"/>
    <x v="1"/>
    <e v="#VALUE!"/>
    <x v="30"/>
    <n v="19"/>
    <s v="DONE"/>
    <x v="2"/>
    <m/>
    <x v="1"/>
    <s v="RFC"/>
    <s v="[15.3.21] SOIL TEST OG, Rekom Done_x000a_[8.3.21] IW clear, eskalasi approve, go rekom LC_x000a_[3.3.21] IW kurang warga perumahan_x000a_[22.2.21] Kandidat OK by TSEL IW OG"/>
    <m/>
    <m/>
  </r>
  <r>
    <s v="0010623880011"/>
    <s v="1265101001"/>
    <s v="TGR236"/>
    <s v="PERMANENTCMBTLIONAIR"/>
    <s v="PERMANENTCMBTLIONAIR"/>
    <s v="NEW BUILD"/>
    <s v="STIP 1"/>
    <s v="TSEL"/>
    <x v="0"/>
    <m/>
    <s v="031056/TBG-TB/TSEL/MKT/03/2021"/>
    <d v="2021-03-18T00:00:00"/>
    <n v="-6.1935739999999999"/>
    <n v="106.49882100000001"/>
    <s v="Ruko Telaga Bestari RT 008 RW 05 Desa Wanakerta, Kecamatan Sindang Jaya, Kabupaten Tangerang"/>
    <s v="JABODETABEK (OUTER)"/>
    <x v="1"/>
    <s v="BANTEN"/>
    <m/>
    <s v="PT. ORLIE INDONESIA"/>
    <x v="6"/>
    <s v="V"/>
    <n v="-6.1937699999999998"/>
    <n v="106.49706999999999"/>
    <s v="RT 8 + MT 25"/>
    <m/>
    <m/>
    <m/>
    <m/>
    <m/>
    <m/>
    <e v="#N/A"/>
    <x v="2"/>
    <e v="#N/A"/>
    <x v="0"/>
    <n v="271"/>
    <m/>
    <x v="0"/>
    <e v="#N/A"/>
    <x v="4"/>
    <s v="BAN/BAK"/>
    <s v="[3.6.21] Submit kandidat V ke pak arsyad OK. Make sure IW dan BAN _x000a_[28.5.21] IW Failed, 3 KK penolakan, rehunting kandidat_x000a_[27.3.21] Geser Kandidat, Rehuntinh_x000a_[22.3.21] IW minus 7 KK_x000a_[10.3.21] Go SITAC need height 30m. Kandidat P P1"/>
    <s v="Rekom Lurah terdelay karena ada provokator. Lahan altirnatif IW OG minus 1 RT, paralel di validasikan"/>
    <m/>
  </r>
  <r>
    <s v="0010623860011"/>
    <s v="1130171001"/>
    <s v="JBX306"/>
    <s v="STAKALIDERES"/>
    <s v="STAKALIDERES"/>
    <s v="NEW BUILD"/>
    <s v="STIP 1"/>
    <s v="TSEL"/>
    <x v="0"/>
    <m/>
    <s v="031054/TBG-TB/TSEL/MKT/03/2021"/>
    <d v="2021-03-18T00:00:00"/>
    <n v="-6.16317"/>
    <n v="106.69985200000001"/>
    <s v="Kp. Pangkalan RT 005 RW 010, Kel. Semanan, Kec. Kalideres, Jakarta Barat"/>
    <s v="JABODETABEK (INNER)"/>
    <x v="18"/>
    <s v="DKI JAKARTA"/>
    <n v="25"/>
    <s v="PT. KARYA LINTAS SEJAHTERA"/>
    <x v="1"/>
    <s v="P"/>
    <n v="-6.1632699999999998"/>
    <n v="106.69977"/>
    <n v="25"/>
    <m/>
    <m/>
    <m/>
    <m/>
    <m/>
    <m/>
    <s v="DONE"/>
    <x v="1"/>
    <e v="#VALUE!"/>
    <x v="31"/>
    <n v="12"/>
    <s v="DONE"/>
    <x v="2"/>
    <m/>
    <x v="1"/>
    <s v="RFC"/>
    <s v="[10.3.21] Go SITAC need height 25m"/>
    <m/>
    <m/>
  </r>
  <r>
    <s v="0010623840011"/>
    <s v="1265091001"/>
    <s v="SKB215"/>
    <s v="SUKAJAYASALABINTANA"/>
    <s v="SUKAJAYASALABINTANA"/>
    <s v="NEW BUILD"/>
    <s v="STIP 1"/>
    <s v="TSEL"/>
    <x v="0"/>
    <m/>
    <s v="031052/TBG-TB/TSEL/MKT/03/2021"/>
    <d v="2021-03-18T00:00:00"/>
    <n v="-6.8956999999999997"/>
    <n v="106.94970000000001"/>
    <s v="Kp. Nangewer RT 012 RW 005 Desa Sukajaya Kecamatan Sukabumi Kabupaten Sukabumi"/>
    <s v="JABODETABEK (OUTER)"/>
    <x v="15"/>
    <s v="JAWA BARAT"/>
    <n v="52"/>
    <s v="PT. BANJARPASIR NUSA PRATAMA"/>
    <x v="1"/>
    <s v="S"/>
    <n v="-6.8959900000000003"/>
    <n v="106.94812"/>
    <n v="52"/>
    <n v="51"/>
    <m/>
    <m/>
    <m/>
    <m/>
    <m/>
    <d v="2021-05-15T00:00:00"/>
    <x v="11"/>
    <d v="2021-06-14T00:00:00"/>
    <x v="32"/>
    <n v="46"/>
    <s v="DONE"/>
    <x v="2"/>
    <m/>
    <x v="1"/>
    <s v="RFC"/>
    <s v="[10.3.21] Go SITAC need height 50m. Kandidat P P1"/>
    <m/>
    <m/>
  </r>
  <r>
    <s v="0010624640011"/>
    <s v="1130261001"/>
    <s v="JBX304"/>
    <s v="MANYARKALIDERES"/>
    <s v="MANYARKALIDERES"/>
    <s v="NEW MCP NON FO"/>
    <s v="STIP 1"/>
    <s v="TSEL"/>
    <x v="0"/>
    <m/>
    <s v="031294/TBG-TB/TSEL/MKT/03/2021"/>
    <d v="2021-03-26T00:00:00"/>
    <n v="-6.1204499999999999"/>
    <n v="106.71454"/>
    <m/>
    <s v="JABODETABEK (INNER)"/>
    <x v="18"/>
    <s v="DKI JAKARTA"/>
    <m/>
    <s v="PT. KARYA LINTAS SEJAHTERA"/>
    <x v="3"/>
    <s v="S"/>
    <n v="-6.1216100000000004"/>
    <n v="106.71268999999999"/>
    <n v="25"/>
    <m/>
    <m/>
    <m/>
    <m/>
    <m/>
    <m/>
    <d v="2021-06-09T00:00:00"/>
    <x v="12"/>
    <d v="2021-07-09T00:00:00"/>
    <x v="33"/>
    <n v="88"/>
    <s v="DONE"/>
    <x v="1"/>
    <m/>
    <x v="1"/>
    <s v="RFC"/>
    <s v="[7.6.21] IW OG, minus 1 KK. Paralel renego harga sewa lahan_x000a_[2.6.21] Validasi kandidat S_x000a_[10.3.21] Done DRM, Propose to COLO need strengthening. Check ke ASSET"/>
    <s v=" "/>
    <m/>
  </r>
  <r>
    <s v="0010624650011"/>
    <s v="1130271001"/>
    <s v="JTX483"/>
    <s v="PONDOKRANGGONCIPAYUNG"/>
    <s v="PONDOKRANGGONCIPAYUNG"/>
    <s v="NEW MCP NON FO"/>
    <s v="STIP 1"/>
    <s v="TSEL"/>
    <x v="0"/>
    <m/>
    <s v="031295/TBG-TB/TSEL/MKT/03/2021"/>
    <d v="2021-03-26T00:00:00"/>
    <n v="-6.3513450000000002"/>
    <n v="106.906791"/>
    <s v="Jl. Kupu Kupu RT 010 RW 005 Kel. Pondok Ranggon Kec. Cipayung Kota Jakarta Utara"/>
    <s v="JABODETABEK (INNER)"/>
    <x v="19"/>
    <s v="DKI JAKARTA"/>
    <m/>
    <s v="PT. KARYA LINTAS SEJAHTERA"/>
    <x v="3"/>
    <s v="Q"/>
    <n v="-6.3516399999999997"/>
    <n v="106.90709"/>
    <n v="25"/>
    <m/>
    <m/>
    <m/>
    <m/>
    <m/>
    <m/>
    <d v="2021-04-08T00:00:00"/>
    <x v="13"/>
    <d v="2021-05-08T00:00:00"/>
    <x v="34"/>
    <n v="27"/>
    <s v="DONE"/>
    <x v="2"/>
    <m/>
    <x v="1"/>
    <s v="RFC"/>
    <s v="[30.3.21] IW OG minus 5 KK_x000a_[10.3.21] Done DRM, Propose to COLO need strengthening. Check ke ASSET"/>
    <m/>
    <m/>
  </r>
  <r>
    <n v="10626540011"/>
    <s v="1319701001"/>
    <s v="TNX324"/>
    <s v="NEGLASARINEGLASARI"/>
    <s v="NEGLASARINEGLASARI"/>
    <s v="NEW MCP NON FO"/>
    <s v="STIP 1"/>
    <s v="TSEL"/>
    <x v="0"/>
    <m/>
    <s v="031520/TBG-TB/TSEL/MKT/03/2021"/>
    <d v="2021-03-31T00:00:00"/>
    <n v="-6.1510199999999999"/>
    <n v="106.63245999999999"/>
    <s v="Jl. Marsekal Surya Darma No.26b, RT.004/RW.002, Neglasari, Kec. Neglasari, Kota Tangerang, Banten 15129"/>
    <s v="JABODETABEK (OUTER)"/>
    <x v="8"/>
    <s v="BANTEN"/>
    <m/>
    <s v="PT. LINTAS BANYU LESTARI"/>
    <x v="1"/>
    <s v="S"/>
    <n v="-6.1525299999999996"/>
    <n v="106.63236000000001"/>
    <n v="25"/>
    <m/>
    <m/>
    <m/>
    <m/>
    <m/>
    <m/>
    <s v="DONE"/>
    <x v="1"/>
    <e v="#VALUE!"/>
    <x v="35"/>
    <n v="16"/>
    <s v="DONE"/>
    <x v="2"/>
    <m/>
    <x v="1"/>
    <s v="RFC"/>
    <s v="[9.3.21] IW OG untuk kandidat Q dan R dengan plan IW 42m_x000a_[1.3.21] Bersurat ke PEMKOT tangerang terkait ketinggian antenna"/>
    <s v="ISSUE CELLPLAN"/>
    <m/>
  </r>
  <r>
    <s v="0010626550011"/>
    <s v="1319711001"/>
    <s v="CPT249"/>
    <s v="PARADISESERPONG2"/>
    <s v="PARADISESERPONG2"/>
    <s v="NEW BUILD"/>
    <s v="STIP 1"/>
    <s v="TSEL"/>
    <x v="0"/>
    <m/>
    <s v="031521/TBG-TB/TSEL/MKT/03/2021"/>
    <d v="2021-03-31T00:00:00"/>
    <n v="-6.3538569999999996"/>
    <n v="106.70213699999999"/>
    <s v="Jl. AMD Bakti Jayapocis RT 08 RW 02 Kel. Bakti Jaya, Kec. Setu, Kota Tangerang Selatan, Provinsi Banten"/>
    <s v="JABODETABEK (OUTER)"/>
    <x v="6"/>
    <s v="BANTEN"/>
    <m/>
    <s v="PT. AULIA DANARDANA"/>
    <x v="0"/>
    <s v="Q"/>
    <n v="-6.3540900000000002"/>
    <n v="106.70237"/>
    <n v="25"/>
    <m/>
    <m/>
    <m/>
    <m/>
    <m/>
    <m/>
    <d v="2021-04-15T00:00:00"/>
    <x v="14"/>
    <d v="2021-05-15T00:00:00"/>
    <x v="36"/>
    <n v="29"/>
    <s v="DONE"/>
    <x v="2"/>
    <m/>
    <x v="1"/>
    <s v="RFC"/>
    <s v="[10.3.21] Rehunting, need height 40m, Issue Ketinggian. "/>
    <m/>
    <m/>
  </r>
  <r>
    <s v="0010680100011"/>
    <s v="1321801001"/>
    <s v="TNX322"/>
    <s v="PASARBARUKARAWACI"/>
    <s v="PASARBARUKARAWACI"/>
    <s v="NEW BUILD"/>
    <s v="STIP 1"/>
    <s v="TSEL"/>
    <x v="0"/>
    <m/>
    <s v="036988/TBG-TB/TSEL/MKT/04/2021"/>
    <d v="2021-04-14T00:00:00"/>
    <s v="-6.16344"/>
    <s v="106.62673"/>
    <s v="Jl. KS Tubun No 30, RT.005 RW. 03 Kelurahan Koang Jaya, Kec. Krawaci, Kota Tangerang, Provinsi Banten"/>
    <s v="JABODETABEK (INNER)"/>
    <x v="8"/>
    <s v="BANTEN"/>
    <n v="42"/>
    <s v="PT CATRA MEDIA INDONESIA"/>
    <x v="6"/>
    <s v="Q"/>
    <n v="-6.1634399999999996"/>
    <n v="106.62672999999999"/>
    <n v="42"/>
    <m/>
    <m/>
    <m/>
    <m/>
    <m/>
    <m/>
    <e v="#N/A"/>
    <x v="2"/>
    <e v="#N/A"/>
    <x v="0"/>
    <n v="244"/>
    <m/>
    <x v="0"/>
    <e v="#N/A"/>
    <x v="4"/>
    <s v="BAN/BAK"/>
    <s v="[7.6.21] Proses Landclearing, plan SOIL TEST 8.7.21. Rekom Camat NY waiting rekom PUPR"/>
    <s v="Waiting Disposisi PDAM"/>
    <m/>
  </r>
  <r>
    <s v="0010680090011"/>
    <s v="1271391001"/>
    <s v="CKR338"/>
    <s v="PERUMAHAN KSB"/>
    <s v="PERUMAHAN KSB"/>
    <s v="NEW BUILD"/>
    <s v="STIP 1"/>
    <s v="TSEL"/>
    <x v="0"/>
    <m/>
    <s v="036987/TBG-TB/TSEL/MKT/04/2021"/>
    <d v="2021-04-14T00:00:00"/>
    <s v="-6.40208"/>
    <s v="107.11406"/>
    <m/>
    <s v="JABODETABEK (OUTER)"/>
    <x v="11"/>
    <s v="JAWA BARAT"/>
    <n v="32"/>
    <s v="PT. AULIA DANARDANA"/>
    <x v="5"/>
    <s v="Q"/>
    <n v="-6.4018600000000001"/>
    <n v="107.1144"/>
    <m/>
    <m/>
    <m/>
    <m/>
    <m/>
    <m/>
    <m/>
    <e v="#N/A"/>
    <x v="2"/>
    <e v="#N/A"/>
    <x v="0"/>
    <n v="244"/>
    <m/>
    <x v="0"/>
    <e v="#N/A"/>
    <x v="4"/>
    <s v="SITAC Done"/>
    <s v="[7.7.21] menunggu BAN dari BPD dan Kades, legal lahan fix lahan desa_x000a_[6.7.21] Kandidat Q Approve RANE"/>
    <s v="Waiting Rekom Camat Senin 04.10"/>
    <m/>
  </r>
  <r>
    <s v="0030572280031"/>
    <s v="1127821003"/>
    <s v="JAW-JK-TJP-0621"/>
    <s v="DUFAN MARINA"/>
    <s v="Dufan Marina"/>
    <s v="NEW BUILD"/>
    <s v="STIP 1"/>
    <s v="XL"/>
    <x v="0"/>
    <n v="2020"/>
    <s v="018413/TBG-TB/XL/MKT/01/2020"/>
    <d v="2020-01-14T00:00:00"/>
    <s v="-6.125313"/>
    <s v="106.830387"/>
    <m/>
    <s v="JABODETABEK (INNER)"/>
    <x v="10"/>
    <s v="DKI JAKARTA"/>
    <n v="20"/>
    <s v="PT. KARYA LINTAS SEJAHTERA"/>
    <x v="6"/>
    <m/>
    <m/>
    <m/>
    <n v="20"/>
    <m/>
    <m/>
    <m/>
    <m/>
    <s v="SST"/>
    <s v="GF"/>
    <e v="#N/A"/>
    <x v="2"/>
    <e v="#N/A"/>
    <x v="0"/>
    <n v="700"/>
    <m/>
    <x v="0"/>
    <e v="#N/A"/>
    <x v="2"/>
    <s v="DROP"/>
    <s v="[24.2.21] Follow Up orang PT Ancol untuk diskusi lahan di ancol dibantu Camat Pademangan_x000a_[15.2.21] Kandidat Rooftop menolak, Re-Hunting_x000a_[9.2.21] Follow Up titik IW clear pak Magfuri sebelumnya_x000a_[8.2.21] Pengajuan Surat ke PT Surya Citra Multimedia untuk pengajuan kerjasama_x000a_[4.2.21] re-hunting sekitar, pengajuan kandidat C (rooftop). Validasi kandidat to pak Budi_x000a_[3.2.21] Mendatangi hotel discovery"/>
    <m/>
    <m/>
  </r>
  <r>
    <s v="0010680110011"/>
    <s v="1271401001"/>
    <s v="CKR330"/>
    <s v="PERUMAHANCIBARUSAHJAYA"/>
    <s v="PERUMAHANCIBARUSAHJAYA"/>
    <s v="NEW BUILD"/>
    <s v="STIP 1"/>
    <s v="TSEL"/>
    <x v="0"/>
    <m/>
    <s v="036989/TBG-TB/TSEL/MKT/04/2021"/>
    <d v="2021-04-14T00:00:00"/>
    <s v="-6.42799"/>
    <s v="107.07734"/>
    <s v="Kp Malaka RT 001 RW 006, Desa Cibarusah Kota, Kec. Cibarusah, Kab. Bekasi, Jawa Barat"/>
    <s v="JABODETABEK (OUTER)"/>
    <x v="11"/>
    <s v="JAWA BARAT"/>
    <n v="42"/>
    <s v="PT. KARYA LINTAS SEJAHTERA"/>
    <x v="5"/>
    <s v="Q"/>
    <n v="-6.4319199999999999"/>
    <n v="107.07886999999999"/>
    <m/>
    <m/>
    <m/>
    <m/>
    <m/>
    <m/>
    <m/>
    <e v="#N/A"/>
    <x v="2"/>
    <e v="#N/A"/>
    <x v="37"/>
    <n v="225"/>
    <s v="DONE"/>
    <x v="1"/>
    <e v="#N/A"/>
    <x v="1"/>
    <s v="RFC"/>
    <s v="[8.7.21] SOIL TEST Done, Rekom LC OG_x000a_[6.7.21] Eskalasi Done Approve_x000a_[3.7.21] RANE OK kandidat Q, Submit eskalasi_x000a_[16.6.21] NOK from Sales, rehunting KLS_x000a_[27.5.21] Submit kandidat ke pak arsyad, OUTSAR tapi INCELL. Plan submit ke bu nikken untuk dibahas terkait jaraknya_x000a_[20.4.21] Rehunting kearah incell"/>
    <s v="Done RFI COMBAT, NY RFC, Rekom Camat W2 Oktober"/>
    <m/>
  </r>
  <r>
    <s v="0230680590231"/>
    <s v="1271491023"/>
    <s v="ZBGR_4663"/>
    <s v="PAMIJAHAN BOGOR 2"/>
    <s v="PAMIJAHAN BOGOR 2"/>
    <s v="NEW BUILD"/>
    <s v="STIP 1"/>
    <s v="SMART8"/>
    <x v="0"/>
    <m/>
    <s v="037047/TBG-TB/SMART8/MKT/04/2021"/>
    <d v="2021-04-19T00:00:00"/>
    <s v="-6.646675"/>
    <s v="106.647478"/>
    <s v="Kp Tonjong RT 03 RW 03, Kelurahan Cibitung Wetan, Kecamatan Pamijahan, Kabupaten Bogor"/>
    <s v="JABODETABEK (OUTER)"/>
    <x v="5"/>
    <s v="JAWA BARAT"/>
    <n v="52"/>
    <s v="PT. ORLIE INDONESIA"/>
    <x v="1"/>
    <s v="D"/>
    <n v="-6.64682"/>
    <n v="106.64558"/>
    <n v="52"/>
    <m/>
    <m/>
    <m/>
    <m/>
    <m/>
    <m/>
    <d v="2021-07-29T00:00:00"/>
    <x v="15"/>
    <d v="2021-08-09T00:00:00"/>
    <x v="17"/>
    <n v="84"/>
    <s v="DONE"/>
    <x v="2"/>
    <m/>
    <x v="1"/>
    <s v="RFC"/>
    <m/>
    <m/>
    <m/>
  </r>
  <r>
    <s v="0070681390071"/>
    <s v="1133721007"/>
    <s v="094686R"/>
    <s v="EX MAHONI SELATAN"/>
    <s v="EX MAHONI SELATAN"/>
    <s v="NEW MCP NON FO"/>
    <s v="STIP 1"/>
    <s v="HCPT"/>
    <x v="1"/>
    <m/>
    <s v="037230/TBG-PKP/HCPT/MKT/04/2021"/>
    <d v="2021-04-28T00:00:00"/>
    <s v="-6.1161"/>
    <s v="106.91436"/>
    <s v=""/>
    <s v="JABODETABEK (INNER)"/>
    <x v="10"/>
    <s v="DKI JAKARTA"/>
    <s v="20"/>
    <s v="PT. KARYA LINTAS SEJAHTERA"/>
    <x v="6"/>
    <m/>
    <m/>
    <m/>
    <m/>
    <m/>
    <m/>
    <m/>
    <m/>
    <m/>
    <m/>
    <e v="#N/A"/>
    <x v="2"/>
    <e v="#N/A"/>
    <x v="0"/>
    <n v="230"/>
    <m/>
    <x v="0"/>
    <e v="#N/A"/>
    <x v="3"/>
    <s v="Rehunting"/>
    <m/>
    <s v="Hard Space, issue di warga dan perangkat lingkungan"/>
    <m/>
  </r>
  <r>
    <s v="0010685800011"/>
    <s v="1321901001"/>
    <s v="TNX323"/>
    <s v="PASIRJAYAJATIUWUNG"/>
    <s v="PASIRJAYAJATIUWUNG"/>
    <s v="NEW BUILD"/>
    <s v="STIP 1"/>
    <s v="TSEL"/>
    <x v="0"/>
    <m/>
    <s v="038350/TBG-TB/TSEL/MKT/06/2021"/>
    <d v="2021-06-22T00:00:00"/>
    <n v="-6.1895300000000004"/>
    <n v="106.57008500000001"/>
    <m/>
    <s v="JABODETABEK (OUTER)"/>
    <x v="8"/>
    <s v="BANTEN"/>
    <m/>
    <m/>
    <x v="6"/>
    <s v="R"/>
    <n v="-6.1928900000000002"/>
    <n v="106.57163"/>
    <m/>
    <m/>
    <m/>
    <m/>
    <m/>
    <m/>
    <m/>
    <e v="#N/A"/>
    <x v="2"/>
    <e v="#N/A"/>
    <x v="0"/>
    <n v="175"/>
    <m/>
    <x v="0"/>
    <e v="#N/A"/>
    <x v="3"/>
    <s v="Rehunting"/>
    <s v="[14.6.21] Kandidat luar SAR OK, kandidat jalan BNP_x000a_[26.5.21] Submit kandidat OUTSAR tapi INCELL. Blm ada kejelasan dari bu Nikken terkait OK atau tidak_x000a_[8.3.21] Waiting Response PT Gajah Tunggal, Propose Rooftop_x000a_[1.3.21] Bersurat ke PEMKOT tangerang terkait ketinggian antenna"/>
    <m/>
    <m/>
  </r>
  <r>
    <s v="0010685930011"/>
    <s v="1134141001"/>
    <s v="-"/>
    <s v="ALFAMART PANTJORAN PIK"/>
    <s v="ALFAMART PANTJORAN PIK"/>
    <s v="NEW BUILD"/>
    <s v="STIP 1"/>
    <s v="TSEL"/>
    <x v="1"/>
    <m/>
    <s v="039081/TBG-PKP/TSEL/MKT/06/2021"/>
    <d v="2021-06-25T00:00:00"/>
    <s v="-6.08979"/>
    <s v="106.74383"/>
    <s v=""/>
    <s v="JABODETABEK (INNER)"/>
    <x v="10"/>
    <s v="DKI JAKARTA"/>
    <s v="6"/>
    <s v="PT. NAYAKA"/>
    <x v="0"/>
    <m/>
    <m/>
    <m/>
    <m/>
    <m/>
    <m/>
    <m/>
    <m/>
    <m/>
    <m/>
    <e v="#N/A"/>
    <x v="2"/>
    <e v="#N/A"/>
    <x v="0"/>
    <n v="172"/>
    <m/>
    <x v="0"/>
    <e v="#N/A"/>
    <x v="5"/>
    <s v="CME"/>
    <m/>
    <s v="No Need RFC (No SITAC)"/>
    <m/>
  </r>
  <r>
    <s v="0230686620231"/>
    <s v="1321931023"/>
    <s v="ZJKT2_6180"/>
    <s v="TANGERANG KOSAMBI"/>
    <s v="TANGERANG KOSAMBI"/>
    <s v="NEW BUILD"/>
    <s v="STIP 1"/>
    <s v="SMART8"/>
    <x v="0"/>
    <n v="2021"/>
    <s v="039423/TBG-TB/SMART8/MKT/07/2021"/>
    <d v="2021-07-01T10:27:15"/>
    <n v="-6.1021869999999998"/>
    <n v="106.663962"/>
    <s v="Kp Kresek RT 04 RW 07, Desa Rawaburung, Kec. Kosambi, Kab. Tangerang, Banten"/>
    <s v="JABODETABEK (OUTER)"/>
    <x v="1"/>
    <s v="BANTEN"/>
    <n v="42"/>
    <s v="PT. BANJARPASIR NUSA PRATAMA"/>
    <x v="0"/>
    <s v="B"/>
    <n v="-6.1014900000000001"/>
    <n v="106.6643"/>
    <n v="32"/>
    <m/>
    <m/>
    <m/>
    <m/>
    <m/>
    <m/>
    <d v="2021-08-13T00:00:00"/>
    <x v="9"/>
    <d v="2021-08-29T00:00:00"/>
    <x v="38"/>
    <n v="42.564407442099764"/>
    <s v="DONE"/>
    <x v="2"/>
    <n v="43"/>
    <x v="1"/>
    <s v="RFC"/>
    <s v="[8.7.21] Need Confirmation IW dan BAN kandidat A. JR selesai, siteforge blm ready. Validasi NY"/>
    <m/>
    <m/>
  </r>
  <r>
    <s v="0230686800231"/>
    <s v="1134171023"/>
    <s v="ZJKT2_5300"/>
    <s v="PKP JAKARTA BARAT CENGKARENG"/>
    <s v="PKP JAKARTA BARAT CENGKARENG"/>
    <s v="NEW BUILD"/>
    <s v="STIP 1"/>
    <s v="SMART8"/>
    <x v="1"/>
    <n v="2021"/>
    <s v="039661/TBG-PKP/SMART8/MKT/07/2021"/>
    <d v="2021-07-02T08:42:32"/>
    <n v="-6.1410999999999998"/>
    <n v="106.76849"/>
    <m/>
    <s v="JABODETABEK (INNER)"/>
    <x v="2"/>
    <s v="DKI JAKARTA"/>
    <n v="32"/>
    <s v="PT. KARYA LINTAS SEJAHTERA"/>
    <x v="6"/>
    <m/>
    <n v="-6.1407400000000001"/>
    <n v="106.76886"/>
    <m/>
    <m/>
    <m/>
    <m/>
    <m/>
    <m/>
    <m/>
    <e v="#N/A"/>
    <x v="2"/>
    <e v="#N/A"/>
    <x v="0"/>
    <n v="164.63712754630251"/>
    <m/>
    <x v="0"/>
    <e v="#N/A"/>
    <x v="3"/>
    <s v="Rekom Lurah Camat"/>
    <s v="[8.7.21] Geser titik kandidat, Kandidat rooftop A menolak"/>
    <s v="Rehunting kandidat alternati untuk rooftop"/>
    <m/>
  </r>
  <r>
    <s v="0230687020231"/>
    <s v="1134221023"/>
    <s v="INJB21_0283"/>
    <s v="PKP KALI DERES JAKARTA BARAT"/>
    <s v="PKP KALI DERES JAKARTA BARAT"/>
    <s v="NEW BUILD"/>
    <s v="STIP 1"/>
    <s v="SMART8"/>
    <x v="1"/>
    <n v="2021"/>
    <s v="039715/TBG-PKP/SMART8/MKT/07/2021"/>
    <d v="2021-07-02T16:16:13"/>
    <n v="-6.1100209999999997"/>
    <n v="106.71092"/>
    <m/>
    <s v="JABODETABEK (INNER)"/>
    <x v="2"/>
    <s v="DKI JAKARTA"/>
    <n v="32"/>
    <s v="PT. KARYA LINTAS SEJAHTERA"/>
    <x v="0"/>
    <m/>
    <m/>
    <m/>
    <m/>
    <m/>
    <m/>
    <m/>
    <m/>
    <m/>
    <m/>
    <d v="2021-09-08T00:00:00"/>
    <x v="16"/>
    <d v="2021-09-28T00:00:00"/>
    <x v="39"/>
    <n v="58.322066319400619"/>
    <s v="DONE"/>
    <x v="0"/>
    <n v="68"/>
    <x v="1"/>
    <s v="RFC"/>
    <s v="[8.7.21] Propose Colo to TBG, paralel hunting 2 kandidat. Siteforge NY Ready"/>
    <m/>
    <m/>
  </r>
  <r>
    <s v="0230686810231"/>
    <s v="1134181023"/>
    <s v="INJB21_0272"/>
    <s v="PKP JAKARTA BARAT TAMBORA"/>
    <s v="PKP JAKARTA BARAT TAMBORA"/>
    <s v="NEW BUILD"/>
    <s v="STIP 1"/>
    <s v="SMART8"/>
    <x v="1"/>
    <n v="2021"/>
    <s v="039662/TBG-PKP/SMART8/MKT/07/2021"/>
    <d v="2021-07-02T08:44:26"/>
    <n v="-6.1510340000000001"/>
    <n v="106.795839"/>
    <m/>
    <s v="JABODETABEK (INNER)"/>
    <x v="2"/>
    <s v="DKI JAKARTA"/>
    <n v="32"/>
    <s v="PT. KARYA LINTAS SEJAHTERA"/>
    <x v="6"/>
    <m/>
    <n v="-6.15219"/>
    <n v="106.79555999999999"/>
    <m/>
    <m/>
    <m/>
    <m/>
    <m/>
    <m/>
    <m/>
    <e v="#N/A"/>
    <x v="2"/>
    <e v="#N/A"/>
    <x v="0"/>
    <n v="164.63581527779752"/>
    <m/>
    <x v="0"/>
    <e v="#N/A"/>
    <x v="3"/>
    <s v="Rekom Lurah Camat"/>
    <s v="[8.7.21] BAN 20jt. Kandidat A IW Potensi tinggi"/>
    <s v="Rekom Camat Release, Delay CME Comcase penolakan warga. Plan rehunting kandidat"/>
    <m/>
  </r>
  <r>
    <s v="0230687030231"/>
    <s v="1134231023"/>
    <s v="HUNew_JKT24157"/>
    <s v="PKP PENJARINGAN JAKARTA UTARA"/>
    <s v="PKP PENJARINGAN JAKARTA UTARA"/>
    <s v="NEW BUILD"/>
    <s v="STIP 1"/>
    <s v="SMART8"/>
    <x v="1"/>
    <n v="2021"/>
    <s v="039716/TBG-PKP/SMART8/MKT/07/2021"/>
    <d v="2021-07-02T16:16:14"/>
    <n v="-6.1301350000000001"/>
    <n v="106.79772"/>
    <m/>
    <s v="JABODETABEK (INNER)"/>
    <x v="10"/>
    <s v="DKI JAKARTA"/>
    <n v="32"/>
    <s v="PT. KARYA LINTAS SEJAHTERA"/>
    <x v="6"/>
    <m/>
    <n v="-6.1299900000000003"/>
    <n v="106.79785"/>
    <m/>
    <m/>
    <m/>
    <m/>
    <m/>
    <m/>
    <m/>
    <e v="#N/A"/>
    <x v="2"/>
    <e v="#N/A"/>
    <x v="0"/>
    <n v="164.32205767359847"/>
    <m/>
    <x v="0"/>
    <e v="#N/A"/>
    <x v="3"/>
    <s v="IW Clear"/>
    <s v="[8.7.21] Makesure BAN. Titik Kandidat A. Siteforge NY Ready"/>
    <m/>
    <m/>
  </r>
  <r>
    <s v="0230687710231"/>
    <s v="1134321023"/>
    <s v="ZJKT2_6031"/>
    <s v="JAKARTA BARAT CENGKARENG-1"/>
    <s v="JAKARTA BARAT CENGKARENG-1"/>
    <s v="NEW BUILD"/>
    <s v="STIP 1"/>
    <s v="SMART8"/>
    <x v="0"/>
    <n v="2021"/>
    <s v="039819/TBG-TB/SMART8/MKT/07/2021"/>
    <d v="2021-07-06T06:43:31"/>
    <n v="-6.1371099999999998"/>
    <n v="106.74878200000001"/>
    <s v="Kapuk RT 010 RW 012, Kelurahan Kapuk, Kecamatan Cengkareng, Kota Jakarta Barat"/>
    <s v="JABODETABEK (INNER)"/>
    <x v="2"/>
    <s v="DKI JAKARTA"/>
    <n v="32"/>
    <s v="PT. KARYA LINTAS SEJAHTERA"/>
    <x v="6"/>
    <s v="C"/>
    <n v="-6.1372"/>
    <n v="106.74818999999999"/>
    <n v="25"/>
    <m/>
    <m/>
    <m/>
    <m/>
    <m/>
    <m/>
    <d v="2021-10-29T00:00:00"/>
    <x v="17"/>
    <d v="2021-11-28T00:00:00"/>
    <x v="40"/>
    <n v="116.71977565970155"/>
    <s v="DONE"/>
    <x v="1"/>
    <n v="115"/>
    <x v="1"/>
    <s v="RFC"/>
    <s v="[8.7.21] Makesure BAN. Titik Kandidat A. Siteforge NY Ready"/>
    <s v="[14.10] IW Clear, Approval Kandidat masih di bu Reni. Follow Up Approval titik kandidat hari ini sampai clear RF Planning_x000a_IW OG masih 1 KK yang pendekatan dengan RT RW, paralel hunting kandidat"/>
    <m/>
  </r>
  <r>
    <s v="0230687720231"/>
    <s v="1134331023"/>
    <s v="ZJKT2_6428"/>
    <s v="JAKARTA BARAT CENGKARENG-2"/>
    <s v="JAKARTA BARAT CENGKARENG-2"/>
    <s v="NEW BUILD"/>
    <s v="STIP 1"/>
    <s v="SMART8"/>
    <x v="0"/>
    <n v="2021"/>
    <s v="039820/TBG-TB/SMART8/MKT/07/2021"/>
    <d v="2021-07-06T06:43:32"/>
    <n v="-6.1343959999999997"/>
    <n v="106.745604"/>
    <m/>
    <s v="JABODETABEK (INNER)"/>
    <x v="2"/>
    <s v="DKI JAKARTA"/>
    <n v="32"/>
    <s v="PT. KARYA LINTAS SEJAHTERA"/>
    <x v="6"/>
    <m/>
    <n v="-6.1341000000000001"/>
    <n v="106.74643"/>
    <m/>
    <m/>
    <m/>
    <m/>
    <m/>
    <m/>
    <m/>
    <e v="#N/A"/>
    <x v="2"/>
    <e v="#N/A"/>
    <x v="0"/>
    <n v="160.71977329860238"/>
    <m/>
    <x v="0"/>
    <e v="#N/A"/>
    <x v="3"/>
    <s v="Approval Operator"/>
    <s v="[8.7.21] Rehunting, titik kandidat sementara OUTSAR. Siteforge NY Ready"/>
    <s v="Approval ketinggian antenna"/>
    <m/>
  </r>
  <r>
    <s v="0230687850231"/>
    <s v="1322021023"/>
    <s v="ZJKT2_6089"/>
    <s v="TANGERANG CIPONDOH"/>
    <s v="TANGERANG CIPONDOH"/>
    <s v="NEW BUILD"/>
    <s v="STIP 1"/>
    <s v="SMART8"/>
    <x v="0"/>
    <n v="2021"/>
    <s v="039833/TBG-TB/SMART8/MKT/07/2021"/>
    <d v="2021-07-06T06:43:34"/>
    <n v="-6.1987629999999996"/>
    <n v="106.68875199999999"/>
    <s v="Jalan Kenanga RT 003/RW 001, Kelurahan Kenanga, Kecamatan CIpondoh,Kabupaten Tangerang"/>
    <s v="JABODETABEK (INNER)"/>
    <x v="8"/>
    <s v="BANTEN"/>
    <n v="32"/>
    <s v="PT. PAMENGKANG JAGAT ABADI"/>
    <x v="6"/>
    <s v="P"/>
    <n v="-6.1974099999999996"/>
    <n v="106.68600000000001"/>
    <n v="42"/>
    <m/>
    <m/>
    <m/>
    <m/>
    <m/>
    <m/>
    <e v="#N/A"/>
    <x v="2"/>
    <e v="#N/A"/>
    <x v="0"/>
    <n v="160.71974695599783"/>
    <m/>
    <x v="0"/>
    <e v="#N/A"/>
    <x v="3"/>
    <s v="Rekom Lurah Camat"/>
    <s v="[8.7.21] Rehunting, sebelumnya titik order ke TBG 2020, Hard SITAC"/>
    <s v="Hard Space, lahan kebanyakan didominasi pabrik"/>
    <m/>
  </r>
  <r>
    <s v="0230687860231"/>
    <s v="1134341023"/>
    <s v="ZJKT2_4619"/>
    <s v="JAKARTA UTARA PADEMANGAN"/>
    <s v="JAKARTA UTARA PADEMANGAN"/>
    <s v="NEW BUILD"/>
    <s v="STIP 1"/>
    <s v="SMART8"/>
    <x v="0"/>
    <n v="2021"/>
    <s v="039834/TBG-TB/SMART8/MKT/07/2021"/>
    <d v="2021-07-06T06:43:34"/>
    <n v="-6.1336320000000004"/>
    <n v="106.84193399999999"/>
    <s v="Pademangan IV GG 28/30, Kelurahan Pademangan Timur, Kecamatan Pademangan, Kota Jakarta Utara"/>
    <s v="JABODETABEK (INNER)"/>
    <x v="10"/>
    <s v="DKI JAKARTA"/>
    <n v="32"/>
    <s v="PT. KARYA LINTAS SEJAHTERA"/>
    <x v="6"/>
    <s v="D"/>
    <n v="-6.1341000000000001"/>
    <n v="106.84213"/>
    <n v="25"/>
    <m/>
    <m/>
    <m/>
    <m/>
    <m/>
    <m/>
    <d v="2021-10-31T00:00:00"/>
    <x v="18"/>
    <d v="2021-11-30T00:00:00"/>
    <x v="41"/>
    <n v="114.71974513890018"/>
    <s v="DONE"/>
    <x v="1"/>
    <n v="117"/>
    <x v="1"/>
    <s v="RFC"/>
    <s v="[8.7.21] Makesure BAN dan Detail bangunan. Titik Kandidat A Rooftop. Siteforge NY Ready"/>
    <s v="[14.10] Galian done, Rekom Camat NY Release_x000a_IW OG, SOSWAR 03.10"/>
    <m/>
  </r>
  <r>
    <s v="0230687940231"/>
    <n v="1272131023"/>
    <s v="HUNew_BDG5992-2"/>
    <s v="SUKABUMI CIKIDANG"/>
    <s v="SUKABUMI CIKIDANG"/>
    <s v="NEW BUILD"/>
    <s v="STIP 1"/>
    <s v="SMART8"/>
    <x v="0"/>
    <n v="2021"/>
    <s v="039842/TBG-TB/SMART8/MKT/07/2021"/>
    <d v="2021-07-06T06:43:36"/>
    <n v="-6.8767699999999996"/>
    <n v="106.672583"/>
    <s v="Kp. Simpang RT 002 RW 005, Desa Pangkalan, Kec. Cikidang, Kab Sukabumi"/>
    <s v="JABODETABEK (OUTER)"/>
    <x v="15"/>
    <s v="JAWA BARAT"/>
    <n v="72"/>
    <s v="PT. BANJARPASIR NUSA PRATAMA"/>
    <x v="0"/>
    <s v="B"/>
    <n v="-6.88218"/>
    <n v="106.66994"/>
    <n v="72"/>
    <m/>
    <m/>
    <m/>
    <m/>
    <m/>
    <m/>
    <d v="2021-08-31T00:00:00"/>
    <x v="9"/>
    <d v="2021-09-30T00:00:00"/>
    <x v="42"/>
    <n v="56.7197277778032"/>
    <s v="DONE"/>
    <x v="2"/>
    <n v="56"/>
    <x v="6"/>
    <s v="RFC"/>
    <s v="[8.7.21] Need Siteforge validation dan Nego BAN. Update IW potensi clear"/>
    <m/>
    <m/>
  </r>
  <r>
    <s v="0230687880231"/>
    <s v="1272121023"/>
    <s v="ZBGR_4687"/>
    <s v="BOGOR BOJONG GEDE"/>
    <s v="BOGOR BOJONG GEDE"/>
    <s v="NEW BUILD"/>
    <s v="STIP 1"/>
    <s v="SMART8"/>
    <x v="0"/>
    <n v="2021"/>
    <s v="039836/TBG-TB/SMART8/MKT/07/2021"/>
    <d v="2021-07-06T06:43:35"/>
    <n v="-6.4711869999999996"/>
    <n v="106.79571900000001"/>
    <s v="Kp Parakan Jati RT 004 RW 004, Desa Susukan, Kecamatan Bojon Geda, Kabupaten Bogor"/>
    <s v="JABODETABEK (OUTER)"/>
    <x v="5"/>
    <s v="JAWA BARAT"/>
    <n v="42"/>
    <s v="PT. LINTAS BANYU LESTARI"/>
    <x v="5"/>
    <s v="B"/>
    <n v="-6.4704100000000002"/>
    <n v="106.7963"/>
    <m/>
    <m/>
    <m/>
    <m/>
    <m/>
    <m/>
    <m/>
    <d v="2021-08-10T00:00:00"/>
    <x v="9"/>
    <d v="2021-09-09T00:00:00"/>
    <x v="43"/>
    <n v="48.719738275496638"/>
    <s v="DONE"/>
    <x v="2"/>
    <n v="35"/>
    <x v="1"/>
    <s v="RFC"/>
    <s v="[8.7.21] Submit kandidat A, BAN 20 jt need nego. Siteforge NY ready"/>
    <m/>
    <m/>
  </r>
  <r>
    <s v="0230688640231"/>
    <n v="1272241023"/>
    <s v="ZBGR_4655"/>
    <s v="BOGOR SUKARAJA"/>
    <s v="BOGOR SUKARAJA"/>
    <s v="NEW BUILD"/>
    <s v="STIP 1"/>
    <s v="SMART8"/>
    <x v="0"/>
    <m/>
    <s v="040778/TBG-TB/SMART8/MKT/07/2021"/>
    <d v="2021-07-14T06:43:36"/>
    <s v="-6.542636"/>
    <s v="106.82084"/>
    <s v=""/>
    <s v="JABODETABEK (OUTER)"/>
    <x v="5"/>
    <s v="JAWA BARAT"/>
    <s v="42"/>
    <m/>
    <x v="5"/>
    <m/>
    <m/>
    <m/>
    <m/>
    <m/>
    <m/>
    <m/>
    <m/>
    <m/>
    <m/>
    <e v="#N/A"/>
    <x v="2"/>
    <e v="#N/A"/>
    <x v="0"/>
    <n v="152.71972222222394"/>
    <m/>
    <x v="0"/>
    <e v="#N/A"/>
    <x v="3"/>
    <s v="Rehunting"/>
    <m/>
    <m/>
    <m/>
  </r>
  <r>
    <s v="0230688650231"/>
    <s v="1272251023"/>
    <s v="INJB21_0322"/>
    <s v="KARAWANG MAJALAYA"/>
    <s v="KARAWANG MAJALAYA"/>
    <s v="NEW BUILD"/>
    <s v="STIP 1"/>
    <s v="SMART8"/>
    <x v="0"/>
    <m/>
    <s v="040779/TBG-TB/SMART8/MKT/07/2021"/>
    <d v="2021-07-14T06:43:36"/>
    <s v="-6.313947"/>
    <s v="107.35046"/>
    <s v="Kp. Wagir II RT 067 RW 06, Desa Bengle, Kec. Majalaya, Kab. Karawang, Jawa Barat"/>
    <s v="JABODETABEK (OUTER)"/>
    <x v="13"/>
    <s v="JAWA BARAT"/>
    <s v="42"/>
    <s v="PT. ORLIE INDONESIA"/>
    <x v="0"/>
    <s v="A"/>
    <n v="-6.3149600000000001"/>
    <n v="107.35026000000001"/>
    <n v="42"/>
    <m/>
    <m/>
    <m/>
    <m/>
    <m/>
    <m/>
    <d v="2021-08-15T00:00:00"/>
    <x v="9"/>
    <d v="2021-09-14T00:00:00"/>
    <x v="42"/>
    <n v="48.719722222223936"/>
    <s v="DONE"/>
    <x v="2"/>
    <n v="32"/>
    <x v="1"/>
    <s v="RFC"/>
    <m/>
    <m/>
    <m/>
  </r>
  <r>
    <s v="0010688680011"/>
    <s v="1134381001"/>
    <s v="JSX943"/>
    <s v="CILANDAKBAWAH"/>
    <s v="CILANDAKBAWAH"/>
    <s v="NEW MCP NON FO"/>
    <s v="STIP 1"/>
    <s v="TSEL"/>
    <x v="0"/>
    <m/>
    <s v="040792/TBG-TB/TSEL/MKT/07/2021"/>
    <d v="2021-07-14T06:43:36"/>
    <s v="-6.28701"/>
    <s v="106.80065"/>
    <s v="JL. CILANDAK BAWAH RT 010.RW 013 CILANDAK BARAT, CILANDAK, JAKARTA SELATAN"/>
    <s v="JABODETABEK (INNER)"/>
    <x v="4"/>
    <s v="DKI JAKARTA"/>
    <s v="25"/>
    <s v="PT. KARYA LINTAS SEJAHTERA"/>
    <x v="0"/>
    <s v="W"/>
    <n v="-6.2869299999999999"/>
    <n v="106.80065999999999"/>
    <n v="25"/>
    <m/>
    <m/>
    <m/>
    <m/>
    <m/>
    <m/>
    <m/>
    <x v="19"/>
    <d v="1900-01-29T00:00:00"/>
    <x v="44"/>
    <n v="14.719722222223936"/>
    <s v="DONE"/>
    <x v="2"/>
    <m/>
    <x v="1"/>
    <s v="RFC"/>
    <m/>
    <m/>
    <m/>
  </r>
  <r>
    <s v="0010688670011"/>
    <s v="1134371001"/>
    <s v="JUX067"/>
    <s v="ELANGLAUT"/>
    <s v="ELANGLAUT"/>
    <s v="NEW MCP NON FO"/>
    <s v="STIP 1"/>
    <s v="TSEL"/>
    <x v="0"/>
    <m/>
    <s v="040791/TBG-TB/TSEL/MKT/07/2021"/>
    <d v="2021-07-14T06:43:36"/>
    <s v="-6.12779"/>
    <s v="106.74943"/>
    <s v=""/>
    <s v="JABODETABEK (INNER)"/>
    <x v="10"/>
    <s v="DKI JAKARTA"/>
    <s v="25"/>
    <s v="PT. KARYA LINTAS SEJAHTERA"/>
    <x v="6"/>
    <m/>
    <m/>
    <m/>
    <m/>
    <m/>
    <m/>
    <m/>
    <m/>
    <m/>
    <m/>
    <d v="2021-10-07T00:00:00"/>
    <x v="20"/>
    <d v="2021-11-06T00:00:00"/>
    <x v="45"/>
    <n v="96.719722222223936"/>
    <s v="DONE"/>
    <x v="1"/>
    <n v="85"/>
    <x v="1"/>
    <s v="RFC"/>
    <m/>
    <s v="RFC system error"/>
    <m/>
  </r>
  <r>
    <s v="0010690930011"/>
    <s v="1134481001"/>
    <s v="JBX309"/>
    <s v="GAGASEMANAN"/>
    <s v="GAGASEMANAN"/>
    <s v="NEW BUILD"/>
    <s v="STIP 1"/>
    <s v="TSEL"/>
    <x v="1"/>
    <m/>
    <s v="041580/TBG-PKP/TSEL/MKT/07/2021"/>
    <d v="2021-07-28T00:00:00"/>
    <s v="-6.166582"/>
    <s v="106.702146"/>
    <s v=""/>
    <s v="JABODETABEK (INNER)"/>
    <x v="2"/>
    <s v="DKI JAKARTA"/>
    <s v="32"/>
    <s v="PT. KARYA LINTAS SEJAHTERA"/>
    <x v="0"/>
    <m/>
    <m/>
    <m/>
    <m/>
    <m/>
    <m/>
    <m/>
    <m/>
    <m/>
    <m/>
    <d v="2021-08-17T00:00:00"/>
    <x v="9"/>
    <d v="2021-09-06T00:00:00"/>
    <x v="46"/>
    <n v="15"/>
    <s v="DONE"/>
    <x v="0"/>
    <n v="20"/>
    <x v="1"/>
    <s v="RFC"/>
    <m/>
    <m/>
    <m/>
  </r>
  <r>
    <s v="0010690940011"/>
    <s v="1134491001"/>
    <s v="JTX537"/>
    <s v="RAYAPONCOL"/>
    <s v="RAYAPONCOL"/>
    <s v="NEW BUILD"/>
    <s v="STIP 1"/>
    <s v="TSEL"/>
    <x v="1"/>
    <m/>
    <s v="041581/TBG-PKP/TSEL/MKT/07/2021"/>
    <d v="2021-07-28T00:00:00"/>
    <s v="-6.320899"/>
    <s v="106.870287"/>
    <s v=""/>
    <s v="JABODETABEK (INNER)"/>
    <x v="3"/>
    <s v="DKI JAKARTA"/>
    <s v="32"/>
    <s v="PT. LINTAS BANYU LESTARI"/>
    <x v="5"/>
    <m/>
    <m/>
    <m/>
    <m/>
    <m/>
    <m/>
    <m/>
    <m/>
    <m/>
    <m/>
    <d v="2021-10-25T00:00:00"/>
    <x v="21"/>
    <d v="2021-11-14T00:00:00"/>
    <x v="47"/>
    <n v="75"/>
    <s v="DONE"/>
    <x v="0"/>
    <n v="89"/>
    <x v="6"/>
    <s v="RFC"/>
    <m/>
    <m/>
    <m/>
  </r>
  <r>
    <s v="0010690920011"/>
    <s v="1134471001"/>
    <s v="JUX075"/>
    <s v="SWASEMBADABARATJAKUT"/>
    <s v="SWASEMBADABARATJAKUT"/>
    <s v="NEW BUILD"/>
    <s v="STIP 1"/>
    <s v="TSEL"/>
    <x v="1"/>
    <m/>
    <s v="041579/TBG-PKP/TSEL/MKT/07/2021"/>
    <d v="2021-07-28T00:00:00"/>
    <s v="-6.122359"/>
    <s v="106.888589"/>
    <s v="Jl. Swasembada Barat RT 011 RW 013, Kelurahan Kebon Bawang, Kecamatan Tanjung Priok, Kota Jakarta Utara"/>
    <s v="JABODETABEK (INNER)"/>
    <x v="10"/>
    <s v="DKI JAKARTA"/>
    <s v="32"/>
    <s v="PT. LINTAS BANYU LESTARI"/>
    <x v="6"/>
    <s v="A"/>
    <n v="-6.1220699999999999"/>
    <n v="106.88867999999999"/>
    <n v="25"/>
    <m/>
    <m/>
    <m/>
    <m/>
    <m/>
    <m/>
    <e v="#N/A"/>
    <x v="2"/>
    <e v="#N/A"/>
    <x v="0"/>
    <n v="139"/>
    <m/>
    <x v="0"/>
    <e v="#N/A"/>
    <x v="4"/>
    <s v="Rekom Lurah Camat"/>
    <m/>
    <s v="Need Rehunting masalah SPL"/>
    <m/>
  </r>
  <r>
    <s v="0230691590231"/>
    <s v="1322071023"/>
    <s v="ZJKT_6991"/>
    <s v="KOTA TANGERANG CIPONDOH"/>
    <s v="KOTA TANGERANG CIPONDOH"/>
    <s v="NEW BUILD"/>
    <s v="STIP 1"/>
    <s v="SMART8"/>
    <x v="0"/>
    <m/>
    <s v="041752/TBG-TB/SMART8/MKT/08/2021"/>
    <d v="2021-08-05T00:00:00"/>
    <s v="-6.17658"/>
    <s v="106.6926"/>
    <m/>
    <s v="JABODETABEK (INNER)"/>
    <x v="8"/>
    <s v="BANTEN"/>
    <s v="32"/>
    <s v="PT. CATRA MEDIA INDONESIA"/>
    <x v="6"/>
    <m/>
    <m/>
    <m/>
    <m/>
    <m/>
    <m/>
    <m/>
    <m/>
    <m/>
    <m/>
    <e v="#N/A"/>
    <x v="2"/>
    <e v="#N/A"/>
    <x v="0"/>
    <n v="131"/>
    <m/>
    <x v="0"/>
    <m/>
    <x v="2"/>
    <s v="DROP"/>
    <m/>
    <s v="Hold by SF"/>
    <m/>
  </r>
  <r>
    <s v="0230691670231"/>
    <s v="1272421023"/>
    <s v="ZBGR_4212"/>
    <s v="PKP KAREHKEL BOGOR"/>
    <s v="PKP KAREHKEL BOGOR"/>
    <s v="NEW BUILD"/>
    <s v="STIP 1"/>
    <s v="SMART8"/>
    <x v="1"/>
    <m/>
    <s v="041786/TBG-PKP/SMART8/MKT/08/2021"/>
    <d v="2021-08-05T00:00:00"/>
    <s v="-6.553646"/>
    <s v="106.639913"/>
    <s v="Kp. Parung Panjang Lebak RT. 002 RW. 007 Desa Leuwiliang Kecamatan Leuwiliang Kabupaten Bogor Prov. Jawa Barat"/>
    <s v="JABODETABEK (OUTER)"/>
    <x v="5"/>
    <s v="JAWA BARAT"/>
    <s v="62"/>
    <s v="PT. ORLIE INDONESIA"/>
    <x v="5"/>
    <s v="D"/>
    <n v="-6.5633400000000002"/>
    <n v="106.63327"/>
    <n v="62"/>
    <m/>
    <m/>
    <m/>
    <m/>
    <m/>
    <m/>
    <d v="2021-10-25T00:00:00"/>
    <x v="21"/>
    <m/>
    <x v="48"/>
    <n v="61"/>
    <s v="DONE"/>
    <x v="0"/>
    <m/>
    <x v="6"/>
    <s v="RFC"/>
    <m/>
    <m/>
    <m/>
  </r>
  <r>
    <s v="0030696360031"/>
    <s v="1134551003"/>
    <s v="JAW-JK-KSU-1132"/>
    <s v="PULAU BIDADARI"/>
    <s v="PULAU BIDADARI"/>
    <s v="NEW BUILD"/>
    <s v="STIP 1"/>
    <s v="XL"/>
    <x v="0"/>
    <m/>
    <s v="042492/TBG-TB/XL/MKT/08/2021"/>
    <d v="2021-08-18T00:00:00"/>
    <n v="-6.0355879999999997"/>
    <n v="106.74678"/>
    <m/>
    <m/>
    <x v="20"/>
    <m/>
    <m/>
    <s v="PT. KARYA LINTAS SEJAHTERA"/>
    <x v="6"/>
    <m/>
    <m/>
    <m/>
    <m/>
    <m/>
    <m/>
    <m/>
    <m/>
    <m/>
    <m/>
    <e v="#N/A"/>
    <x v="2"/>
    <e v="#N/A"/>
    <x v="0"/>
    <n v="118"/>
    <m/>
    <x v="0"/>
    <m/>
    <x v="2"/>
    <s v="DROP"/>
    <m/>
    <s v="Change Plan from XL"/>
    <m/>
  </r>
  <r>
    <s v="0230700240231"/>
    <s v="1273391023"/>
    <s v="HUNew_BGR4379-1"/>
    <s v="BOGOR BOJONG GEDE-2"/>
    <s v="BOGOR BOJONG GEDE-2"/>
    <s v="NEW BUILD"/>
    <s v="STIP 1"/>
    <s v="SMART8"/>
    <x v="0"/>
    <m/>
    <s v="043103/TBG-TB/SMART8/MKT/08/2021"/>
    <d v="2021-08-26T00:00:00"/>
    <s v="-6.46242"/>
    <s v="106.80435"/>
    <s v=""/>
    <s v="JABODETABEK (OUTER)"/>
    <x v="5"/>
    <s v="JAWA BARAT"/>
    <s v="42"/>
    <s v="PT. TRITAMA AJI LAKSANA"/>
    <x v="5"/>
    <m/>
    <m/>
    <m/>
    <m/>
    <m/>
    <m/>
    <m/>
    <m/>
    <m/>
    <m/>
    <e v="#N/A"/>
    <x v="2"/>
    <e v="#N/A"/>
    <x v="0"/>
    <n v="110"/>
    <m/>
    <x v="0"/>
    <m/>
    <x v="4"/>
    <s v="IW On Going"/>
    <m/>
    <m/>
    <m/>
  </r>
  <r>
    <s v="0230700270231"/>
    <s v="1322371023"/>
    <s v="INJB21_0174"/>
    <s v="TANGERANG JAYANTI"/>
    <s v="TANGERANG JAYANTI"/>
    <s v="NEW BUILD"/>
    <s v="STIP 1"/>
    <s v="SMART8"/>
    <x v="0"/>
    <m/>
    <s v="043106/TBG-TB/SMART8/MKT/08/2021"/>
    <d v="2021-08-26T00:00:00"/>
    <s v="-6.21707"/>
    <s v="106.41086"/>
    <s v=""/>
    <s v="JABODETABEK (OUTER)"/>
    <x v="1"/>
    <s v="BANTEN"/>
    <s v="42"/>
    <s v="PT. SURYASANTIKA INFRASTURKTUR"/>
    <x v="6"/>
    <s v="D"/>
    <n v="-6.2167899999999996"/>
    <n v="106.41227000000001"/>
    <n v="42"/>
    <m/>
    <m/>
    <m/>
    <m/>
    <m/>
    <m/>
    <e v="#N/A"/>
    <x v="2"/>
    <e v="#N/A"/>
    <x v="0"/>
    <n v="110"/>
    <m/>
    <x v="0"/>
    <m/>
    <x v="4"/>
    <s v="Rekom Lurah Camat"/>
    <m/>
    <m/>
    <m/>
  </r>
  <r>
    <s v="0230700230231"/>
    <s v="1322361023"/>
    <s v="INJB21_0107"/>
    <s v="TANGERANG TELUKNAGA"/>
    <s v="TANGERANG TELUKNAGA"/>
    <s v="NEW BUILD"/>
    <s v="STIP 1"/>
    <s v="SMART8"/>
    <x v="0"/>
    <m/>
    <s v="043102/TBG-TB/SMART8/MKT/08/2021"/>
    <d v="2021-08-26T00:00:00"/>
    <s v="-6.06795"/>
    <s v="106.6453"/>
    <s v="Kp. Sukadamai RT 06 RW 08, Desa Pangkalan, Kecamatan Teluknaga, Kabupaten Tangerang"/>
    <s v="JABODETABEK (OUTER)"/>
    <x v="1"/>
    <s v="BANTEN"/>
    <s v="52"/>
    <s v="PT. SURYASANTIKA INFRASTURKTUR"/>
    <x v="6"/>
    <s v="C"/>
    <n v="-6.0672199999999998"/>
    <n v="106.64364999999999"/>
    <n v="52"/>
    <m/>
    <m/>
    <m/>
    <m/>
    <m/>
    <m/>
    <e v="#N/A"/>
    <x v="2"/>
    <e v="#N/A"/>
    <x v="0"/>
    <n v="110"/>
    <m/>
    <x v="0"/>
    <m/>
    <x v="4"/>
    <s v="IW On Going"/>
    <m/>
    <s v="IW OG, door to door. BAN ke pemilik lahan (corporate"/>
    <m/>
  </r>
  <r>
    <s v="0260703940261"/>
    <s v="1134811026"/>
    <s v="JKB-TBG21-0001"/>
    <s v="DURI  TAMBORA"/>
    <s v="DURI  TAMBORA"/>
    <s v="NEW BUILD"/>
    <s v="STIP 1"/>
    <s v="TBG"/>
    <x v="0"/>
    <m/>
    <s v="043924/TBG-TB/TBG/MKT/09/2021"/>
    <d v="2021-09-02T00:00:00"/>
    <s v="-6.154541"/>
    <s v="106.803271"/>
    <s v=""/>
    <s v="JABODETABEK (INNER)"/>
    <x v="2"/>
    <s v="DKI JAKARTA"/>
    <s v="9"/>
    <s v="PT. KARYA LINTAS SEJAHTERA"/>
    <x v="6"/>
    <m/>
    <m/>
    <m/>
    <m/>
    <m/>
    <m/>
    <m/>
    <m/>
    <m/>
    <m/>
    <e v="#N/A"/>
    <x v="2"/>
    <e v="#N/A"/>
    <x v="49"/>
    <n v="28"/>
    <s v="DONE"/>
    <x v="2"/>
    <m/>
    <x v="1"/>
    <s v="RFC"/>
    <m/>
    <m/>
    <m/>
  </r>
  <r>
    <s v="0010704590011"/>
    <s v="1322471001"/>
    <s v="CLG115"/>
    <s v="BENDUNGANCILEGON"/>
    <s v="BENDUNGANCILEGON"/>
    <s v="NEW BUILD"/>
    <s v="STIP 1"/>
    <s v="TSEL"/>
    <x v="0"/>
    <m/>
    <s v="044442/TBG-TB/TSEL/MKT/09/2021"/>
    <d v="2021-09-03T00:00:00"/>
    <s v="-6.03402"/>
    <s v="106.05061"/>
    <s v="Jl. K. H. Musatmil, Kelurahan Karang Asem, Kecamatan Cibeber, Kota Cilegon"/>
    <s v="JABODETABEK (OUTER)"/>
    <x v="21"/>
    <s v="BANTEN"/>
    <s v="42"/>
    <s v="PT. PAMENGKANG JAGAT ABADI"/>
    <x v="6"/>
    <s v="S"/>
    <n v="-6.0365000000000002"/>
    <n v="106.05128000000001"/>
    <n v="42"/>
    <m/>
    <m/>
    <m/>
    <m/>
    <m/>
    <m/>
    <e v="#N/A"/>
    <x v="2"/>
    <e v="#N/A"/>
    <x v="50"/>
    <n v="89"/>
    <s v="DONE"/>
    <x v="1"/>
    <m/>
    <x v="1"/>
    <s v="SITAC Done"/>
    <m/>
    <m/>
    <m/>
  </r>
  <r>
    <s v="0010704620011"/>
    <s v="1273681001"/>
    <s v="CBN483"/>
    <s v="CARINGINBOCIMI"/>
    <s v="CARINGINBOCIMI"/>
    <s v="NEW BUILD"/>
    <s v="STIP 1"/>
    <s v="TSEL"/>
    <x v="0"/>
    <m/>
    <s v="044445/TBG-TB/TSEL/MKT/09/2021"/>
    <d v="2021-09-03T00:00:00"/>
    <s v="-6.68864"/>
    <s v="106.82696"/>
    <s v=""/>
    <s v="JABODETABEK (OUTER)"/>
    <x v="5"/>
    <s v="JAWA BARAT"/>
    <s v="52"/>
    <s v="PT. BANJARPASIR NUSA PRATAMA"/>
    <x v="5"/>
    <m/>
    <m/>
    <m/>
    <m/>
    <m/>
    <m/>
    <m/>
    <m/>
    <m/>
    <m/>
    <e v="#N/A"/>
    <x v="2"/>
    <e v="#N/A"/>
    <x v="0"/>
    <n v="102"/>
    <m/>
    <x v="0"/>
    <m/>
    <x v="2"/>
    <s v="DROP"/>
    <m/>
    <s v="Propose Drop"/>
    <m/>
  </r>
  <r>
    <s v="0010704500011"/>
    <s v="1273601001"/>
    <s v="KRW263"/>
    <s v="CIKARANG CILAMAYA WETAN"/>
    <s v="Cikarang Cilamaya Wetan"/>
    <s v="NEW BUILD"/>
    <s v="STIP 1"/>
    <s v="TSEL"/>
    <x v="0"/>
    <m/>
    <s v="044433/TBG-TB/TSEL/MKT/09/2021"/>
    <d v="2021-09-03T00:00:00"/>
    <s v="-6.27009"/>
    <s v="107.54675"/>
    <s v="Kp. Cimahi RT 010 RW 006 Desa Cikarang, Kecamatan Cilamaya Wetan, Kab. Karawang"/>
    <s v="JABODETABEK (OUTER)"/>
    <x v="13"/>
    <s v="JAWA BARAT"/>
    <s v="52"/>
    <s v="PT. ORLIE INDONESIA"/>
    <x v="5"/>
    <s v="P"/>
    <n v="-6.2700899999999997"/>
    <n v="107.54675"/>
    <n v="52"/>
    <m/>
    <m/>
    <m/>
    <m/>
    <m/>
    <m/>
    <d v="2021-10-18T00:00:00"/>
    <x v="22"/>
    <d v="2021-11-17T00:00:00"/>
    <x v="51"/>
    <n v="41"/>
    <s v="DONE"/>
    <x v="2"/>
    <m/>
    <x v="1"/>
    <s v="RFC"/>
    <m/>
    <s v="RFC system error"/>
    <m/>
  </r>
  <r>
    <s v="0010704480011"/>
    <s v="1273591001"/>
    <s v="KRW262"/>
    <s v="CILAMAYA KULONPASIRJAYA"/>
    <s v="CILAMAYA KULONPASIRJAYA"/>
    <s v="NEW BUILD"/>
    <s v="STIP 1"/>
    <s v="TSEL"/>
    <x v="0"/>
    <m/>
    <s v="044431/TBG-TB/TSEL/MKT/09/2021"/>
    <d v="2021-09-03T00:00:00"/>
    <s v="-6.19333"/>
    <s v="107.52742"/>
    <s v=""/>
    <s v="JABODETABEK (OUTER)"/>
    <x v="13"/>
    <s v="JAWA BARAT"/>
    <s v="52"/>
    <s v="PT. ORLIE INDONESIA"/>
    <x v="5"/>
    <s v="P"/>
    <n v="-6.1927700000000003"/>
    <n v="107.52561"/>
    <n v="52"/>
    <m/>
    <m/>
    <m/>
    <m/>
    <m/>
    <m/>
    <e v="#N/A"/>
    <x v="2"/>
    <e v="#N/A"/>
    <x v="49"/>
    <n v="27"/>
    <s v="DONE"/>
    <x v="2"/>
    <m/>
    <x v="1"/>
    <s v="RFC"/>
    <m/>
    <m/>
    <m/>
  </r>
  <r>
    <s v="0010704490011"/>
    <s v="1322441001"/>
    <s v="PDG123"/>
    <s v="DESAPANGGUKINGAN"/>
    <s v="DESAPANGGUKINGAN"/>
    <s v="NEW BUILD"/>
    <s v="STIP 1"/>
    <s v="TSEL"/>
    <x v="0"/>
    <m/>
    <s v="044432/TBG-TB/TSEL/MKT/09/2021"/>
    <d v="2021-09-03T00:00:00"/>
    <s v="-6.278"/>
    <s v="106.16816"/>
    <s v=""/>
    <s v="JABODETABEK (OUTER)"/>
    <x v="22"/>
    <s v="BANTEN"/>
    <s v="52"/>
    <s v="PT. KARYA LINTAS SEJAHTERA"/>
    <x v="6"/>
    <s v="P"/>
    <n v="-6.2779999999999996"/>
    <n v="106.16816"/>
    <n v="52"/>
    <m/>
    <m/>
    <m/>
    <m/>
    <m/>
    <m/>
    <m/>
    <x v="19"/>
    <d v="1900-01-29T00:00:00"/>
    <x v="52"/>
    <n v="19"/>
    <s v="DONE"/>
    <x v="2"/>
    <m/>
    <x v="1"/>
    <s v="RFC"/>
    <m/>
    <m/>
    <m/>
  </r>
  <r>
    <s v="0010704560011"/>
    <s v="1322461001"/>
    <s v="RKB078"/>
    <s v="JALUPANGMULYA"/>
    <s v="JALUPANGMULYA"/>
    <s v="NEW BUILD"/>
    <s v="STIP 1"/>
    <s v="TSEL"/>
    <x v="0"/>
    <m/>
    <s v="044439/TBG-TB/TSEL/MKT/09/2021"/>
    <d v="2021-09-03T00:00:00"/>
    <s v="-6.52753"/>
    <s v="106.22568"/>
    <s v=""/>
    <s v="JABODETABEK (OUTER)"/>
    <x v="17"/>
    <s v="BANTEN"/>
    <s v="62"/>
    <s v="PT. KARYA LINTAS SEJAHTERA"/>
    <x v="6"/>
    <s v="P"/>
    <n v="-6.5275299999999996"/>
    <n v="106.22568"/>
    <n v="62"/>
    <m/>
    <m/>
    <m/>
    <m/>
    <m/>
    <m/>
    <m/>
    <x v="19"/>
    <d v="1900-01-29T00:00:00"/>
    <x v="52"/>
    <n v="19"/>
    <s v="DONE"/>
    <x v="2"/>
    <m/>
    <x v="1"/>
    <s v="RFC"/>
    <m/>
    <m/>
    <m/>
  </r>
  <r>
    <s v="0010704540011"/>
    <s v="1273631001"/>
    <s v="KRW252"/>
    <s v="KARAWANG BARATMEKARJATI"/>
    <s v="KARAWANG BARATMEKARJATI"/>
    <s v="NEW BUILD"/>
    <s v="STIP 1"/>
    <s v="TSEL"/>
    <x v="0"/>
    <m/>
    <s v="044437/TBG-TB/TSEL/MKT/09/2021"/>
    <d v="2021-09-03T00:00:00"/>
    <s v="-6.24426"/>
    <s v="107.29665"/>
    <s v="Kp. Secang RT 01 RW 08, Kel.,Mekarjati, Kec. Karawang Barat, Kab. Tangerang"/>
    <s v="JABODETABEK (OUTER)"/>
    <x v="13"/>
    <s v="JAWA BARAT"/>
    <s v="52"/>
    <s v="PT. ORLIE INDONESIA"/>
    <x v="5"/>
    <s v="S"/>
    <n v="-6.2445500000000003"/>
    <n v="107.29841999999999"/>
    <n v="52"/>
    <m/>
    <m/>
    <m/>
    <m/>
    <m/>
    <m/>
    <d v="2021-10-15T00:00:00"/>
    <x v="23"/>
    <d v="2021-11-14T00:00:00"/>
    <x v="53"/>
    <n v="37"/>
    <s v="DONE"/>
    <x v="2"/>
    <m/>
    <x v="1"/>
    <s v="RFC"/>
    <m/>
    <m/>
    <m/>
  </r>
  <r>
    <s v="0010704610011"/>
    <s v="1322481001"/>
    <s v="SRG284"/>
    <s v="KAREOJAWILAN"/>
    <s v="KAREOJAWILAN"/>
    <s v="NEW BUILD"/>
    <s v="STIP 1"/>
    <s v="TSEL"/>
    <x v="0"/>
    <m/>
    <s v="044444/TBG-TB/TSEL/MKT/09/2021"/>
    <d v="2021-09-03T00:00:00"/>
    <s v="-6.24999"/>
    <s v="106.34715"/>
    <s v="Kp. Paya Umbul RT.13/RW 05 Desa Junti, Kec. Jawilan, Kab. Serang"/>
    <s v="JABODETABEK (OUTER)"/>
    <x v="14"/>
    <s v="BANTEN"/>
    <s v="52"/>
    <s v="PT. TRITAMA AJI LAKSANA"/>
    <x v="6"/>
    <s v="P"/>
    <n v="-6.2499900000000004"/>
    <n v="106.34715"/>
    <n v="52"/>
    <m/>
    <m/>
    <m/>
    <m/>
    <m/>
    <m/>
    <e v="#N/A"/>
    <x v="2"/>
    <e v="#N/A"/>
    <x v="49"/>
    <n v="27"/>
    <s v="DONE"/>
    <x v="2"/>
    <m/>
    <x v="1"/>
    <s v="RFC"/>
    <m/>
    <m/>
    <m/>
  </r>
  <r>
    <s v="0010704600011"/>
    <s v="1273671001"/>
    <s v="BOX048"/>
    <s v="MEKARWANGITANAHSEREAL"/>
    <s v="MEKARWANGITANAHSEREAL"/>
    <s v="NEW BUILD"/>
    <s v="STIP 1"/>
    <s v="TSEL"/>
    <x v="0"/>
    <m/>
    <s v="044443/TBG-TB/TSEL/MKT/09/2021"/>
    <d v="2021-09-03T00:00:00"/>
    <s v="-6.54738"/>
    <s v="106.7873"/>
    <s v="Kp. Situ pete RT. 01/10 Kel. Sukadamai Kec. Tanah Sereal Kota Bogor"/>
    <s v="JABODETABEK (OUTER)"/>
    <x v="12"/>
    <s v="JAWA BARAT"/>
    <s v="42"/>
    <s v="PT. AKSES FEMTO INDONESIA"/>
    <x v="5"/>
    <s v="P"/>
    <n v="-6.5473800000000004"/>
    <n v="106.7873"/>
    <n v="42"/>
    <m/>
    <m/>
    <m/>
    <m/>
    <m/>
    <m/>
    <d v="2021-10-05T00:00:00"/>
    <x v="24"/>
    <d v="2021-11-04T00:00:00"/>
    <x v="54"/>
    <n v="35"/>
    <s v="DONE"/>
    <x v="2"/>
    <m/>
    <x v="6"/>
    <s v="RFC"/>
    <m/>
    <m/>
    <m/>
  </r>
  <r>
    <s v="0010704550011"/>
    <s v="1273641001"/>
    <s v="CBN471"/>
    <s v="PARUNG PANJANGJAGABITA"/>
    <s v="PARUNG PANJANGJAGABITA"/>
    <s v="NEW BUILD"/>
    <s v="STIP 1"/>
    <s v="TSEL"/>
    <x v="0"/>
    <m/>
    <s v="044438/TBG-TB/TSEL/MKT/09/2021"/>
    <d v="2021-09-03T00:00:00"/>
    <s v="-6.32951"/>
    <s v="106.51726"/>
    <s v="Kp Jawiah RT 02 RW 01 Kelurahan Jagabita, Kecamatan Parung Panjang, Kab Bogor"/>
    <s v="JABODETABEK (OUTER)"/>
    <x v="5"/>
    <s v="JAWA BARAT"/>
    <s v="62"/>
    <s v="PT. BANJARPASIR NUSA PRATAMA"/>
    <x v="5"/>
    <s v="P"/>
    <n v="-6.32951"/>
    <n v="106.51725999999999"/>
    <n v="62"/>
    <m/>
    <m/>
    <m/>
    <m/>
    <m/>
    <m/>
    <e v="#N/A"/>
    <x v="2"/>
    <e v="#N/A"/>
    <x v="55"/>
    <n v="21"/>
    <s v="DONE"/>
    <x v="2"/>
    <m/>
    <x v="1"/>
    <s v="RFC"/>
    <m/>
    <m/>
    <m/>
  </r>
  <r>
    <s v="0010704520011"/>
    <s v="1322451001"/>
    <s v="TGR433"/>
    <s v="RAJEG_TANJAKAN MEKAR"/>
    <s v="RAJEG_TANJAKAN MEKAR"/>
    <s v="NEW BUILD"/>
    <s v="STIP 1"/>
    <s v="TSEL"/>
    <x v="0"/>
    <m/>
    <s v="044435/TBG-TB/TSEL/MKT/09/2021"/>
    <d v="2021-09-03T00:00:00"/>
    <s v="-6.10103"/>
    <s v="106.5318"/>
    <s v="Kp. Jungkel RT 10 RW 04, Kel. Tanjakan Mekar, Kecamatan Rajeg, Kab. Tangerang"/>
    <s v="JABODETABEK (OUTER)"/>
    <x v="1"/>
    <s v="BANTEN"/>
    <s v="52"/>
    <s v="PT. RAKA MITRA BERSAMA"/>
    <x v="6"/>
    <s v="P"/>
    <n v="-6.1010299999999997"/>
    <n v="106.5318"/>
    <n v="52"/>
    <m/>
    <m/>
    <m/>
    <m/>
    <m/>
    <m/>
    <e v="#N/A"/>
    <x v="2"/>
    <e v="#N/A"/>
    <x v="45"/>
    <n v="46"/>
    <s v="DONE"/>
    <x v="2"/>
    <m/>
    <x v="6"/>
    <s v="RFC"/>
    <m/>
    <s v="Done SITAC, update VP OG, system error"/>
    <m/>
  </r>
  <r>
    <s v="0010704670011"/>
    <s v="1322511001"/>
    <s v="TGR542"/>
    <s v="RANCAGEDEGUNUNGKALER"/>
    <s v="RANCAGEDEGUNUNGKALER"/>
    <s v="NEW BUILD"/>
    <s v="STIP 1"/>
    <s v="TSEL"/>
    <x v="0"/>
    <m/>
    <s v="044450/TBG-TB/TSEL/MKT/09/2021"/>
    <d v="2021-09-03T00:00:00"/>
    <s v="-6.08935"/>
    <s v="106.38714"/>
    <s v=""/>
    <s v="JABODETABEK (OUTER)"/>
    <x v="1"/>
    <s v="BANTEN"/>
    <s v="42"/>
    <s v="PT. PAMENGKANG JAGAT ABADI"/>
    <x v="6"/>
    <s v="R"/>
    <n v="-6.0893499999999996"/>
    <n v="106.38714"/>
    <n v="52"/>
    <m/>
    <m/>
    <m/>
    <m/>
    <m/>
    <m/>
    <e v="#N/A"/>
    <x v="2"/>
    <e v="#N/A"/>
    <x v="49"/>
    <n v="27"/>
    <s v="DONE"/>
    <x v="2"/>
    <m/>
    <x v="1"/>
    <s v="RFC"/>
    <m/>
    <m/>
    <m/>
  </r>
  <r>
    <s v="0010704660011"/>
    <s v="1322501001"/>
    <s v="TGR543"/>
    <s v="RAYAKRONJOMEKARBARU"/>
    <s v="RAYAKRONJOMEKARBARU"/>
    <s v="NEW BUILD"/>
    <s v="STIP 1"/>
    <s v="TSEL"/>
    <x v="0"/>
    <m/>
    <s v="044449/TBG-TB/TSEL/MKT/09/2021"/>
    <d v="2021-09-03T00:00:00"/>
    <s v="-6.04723"/>
    <s v="106.40115"/>
    <s v="JL Raya Kronjo – Jenggot RT 005/RW 002 Desa Muncung, Kecamatan Kronjo, Kabupaten Tangerang"/>
    <s v="JABODETABEK (OUTER)"/>
    <x v="1"/>
    <s v="BANTEN"/>
    <s v="62"/>
    <s v="PT. PAMENGKANG JAGAT ABADI"/>
    <x v="6"/>
    <s v="Q"/>
    <n v="-6.0472299999999999"/>
    <n v="106.40222"/>
    <n v="62"/>
    <m/>
    <m/>
    <m/>
    <m/>
    <m/>
    <m/>
    <e v="#N/A"/>
    <x v="2"/>
    <e v="#N/A"/>
    <x v="56"/>
    <n v="66"/>
    <s v="DONE"/>
    <x v="2"/>
    <m/>
    <x v="6"/>
    <s v="RFC"/>
    <m/>
    <s v="Need Update TBGSys"/>
    <m/>
  </r>
  <r>
    <s v="0010704650011"/>
    <s v="1273701001"/>
    <s v="CBN521"/>
    <s v="RUMPINTAMANSARI"/>
    <s v="RUMPINTAMANSARI"/>
    <s v="NEW BUILD"/>
    <s v="STIP 1"/>
    <s v="TSEL"/>
    <x v="0"/>
    <m/>
    <s v="044448/TBG-TB/TSEL/MKT/09/2021"/>
    <d v="2021-09-03T00:00:00"/>
    <s v="-6.40421"/>
    <s v="106.61632"/>
    <s v=""/>
    <s v="JABODETABEK (OUTER)"/>
    <x v="5"/>
    <s v="JAWA BARAT"/>
    <s v="42"/>
    <s v="PT. BANJARPASIR NUSA PRATAMA"/>
    <x v="5"/>
    <s v="P"/>
    <n v="-6.40421"/>
    <n v="106.61632"/>
    <n v="42"/>
    <m/>
    <m/>
    <m/>
    <m/>
    <m/>
    <m/>
    <m/>
    <x v="19"/>
    <d v="1900-01-29T00:00:00"/>
    <x v="57"/>
    <n v="10"/>
    <s v="DONE"/>
    <x v="2"/>
    <m/>
    <x v="1"/>
    <s v="RFC"/>
    <m/>
    <m/>
    <m/>
  </r>
  <r>
    <s v="0010704530011"/>
    <s v="1273621001"/>
    <s v="PWK085"/>
    <s v="SMKN1DARANGDANPURWAKARTA"/>
    <s v="SMKN1DARANGDANPURWAKARTA"/>
    <s v="NEW BUILD"/>
    <s v="STIP 1"/>
    <s v="TSEL"/>
    <x v="0"/>
    <m/>
    <s v="044436/TBG-TB/TSEL/MKT/09/2021"/>
    <d v="2021-09-03T00:00:00"/>
    <s v="-6.73225"/>
    <s v="107.4976"/>
    <s v=""/>
    <s v="JABAR"/>
    <x v="23"/>
    <s v="JAWA BARAT"/>
    <s v="52"/>
    <s v="PT. TURANGGA EMPAT TIGA"/>
    <x v="7"/>
    <m/>
    <m/>
    <m/>
    <m/>
    <m/>
    <m/>
    <m/>
    <m/>
    <m/>
    <m/>
    <e v="#N/A"/>
    <x v="2"/>
    <e v="#N/A"/>
    <x v="48"/>
    <n v="32"/>
    <s v="DONE"/>
    <x v="0"/>
    <m/>
    <x v="1"/>
    <s v="RFC"/>
    <m/>
    <s v="JABAR"/>
    <m/>
  </r>
  <r>
    <s v="0010704570011"/>
    <s v="1273651001"/>
    <s v="PWK083"/>
    <s v="SMKN3SUKATANIPWK"/>
    <s v="SMKN3SUKATANIPWK"/>
    <s v="NEW BUILD"/>
    <s v="STIP 1"/>
    <s v="TSEL"/>
    <x v="0"/>
    <m/>
    <s v="044440/TBG-TB/TSEL/MKT/09/2021"/>
    <d v="2021-09-03T00:00:00"/>
    <s v="-6.60919"/>
    <s v="107.39166"/>
    <s v=""/>
    <s v="JABAR"/>
    <x v="23"/>
    <s v="JAWA BARAT"/>
    <s v="52"/>
    <s v="PT. TURANGGA EMPAT TIGA"/>
    <x v="7"/>
    <s v="P"/>
    <n v="-6.6091899999999999"/>
    <n v="107.39166"/>
    <m/>
    <m/>
    <m/>
    <m/>
    <m/>
    <m/>
    <m/>
    <e v="#N/A"/>
    <x v="2"/>
    <e v="#N/A"/>
    <x v="48"/>
    <n v="32"/>
    <s v="DONE"/>
    <x v="0"/>
    <m/>
    <x v="1"/>
    <s v="RFC"/>
    <m/>
    <s v="JABAR"/>
    <m/>
  </r>
  <r>
    <s v="0010704640011"/>
    <s v="1322491001"/>
    <s v="TGR546"/>
    <s v="SOLEARTANGERANG"/>
    <s v="SOLEARTANGERANG"/>
    <s v="NEW BUILD"/>
    <s v="STIP 1"/>
    <s v="TSEL"/>
    <x v="0"/>
    <m/>
    <s v="044447/TBG-TB/TSEL/MKT/09/2021"/>
    <d v="2021-09-03T00:00:00"/>
    <s v="-6.28988"/>
    <s v="106.4025"/>
    <s v="Kp. Sukamanah RT 04 RW 03, Desa Solear, Kecamatan Solear, Kabupaten Tangerang"/>
    <s v="JABODETABEK (OUTER)"/>
    <x v="1"/>
    <s v="BANTEN"/>
    <s v="52"/>
    <s v="PT. RAKA MITRA BERSAMA"/>
    <x v="6"/>
    <s v="P"/>
    <n v="-6.2897299999999996"/>
    <n v="106.40245"/>
    <n v="52"/>
    <m/>
    <m/>
    <m/>
    <m/>
    <m/>
    <m/>
    <d v="2021-10-11T00:00:00"/>
    <x v="25"/>
    <d v="2021-11-10T00:00:00"/>
    <x v="45"/>
    <n v="46"/>
    <s v="DONE"/>
    <x v="2"/>
    <m/>
    <x v="6"/>
    <s v="RFC"/>
    <m/>
    <s v="Dokumen Rekom Camat NY, issue permintaan harga camat"/>
    <m/>
  </r>
  <r>
    <s v="0010704630011"/>
    <s v="1273691001"/>
    <s v="PLR012"/>
    <s v="SUDAJAYAGIRANGSKB"/>
    <s v="SUDAJAYAGIRANGSKB"/>
    <s v="NEW BUILD"/>
    <s v="STIP 1"/>
    <s v="TSEL"/>
    <x v="0"/>
    <m/>
    <s v="044446/TBG-TB/TSEL/MKT/09/2021"/>
    <d v="2021-09-03T00:00:00"/>
    <s v="-6.88618"/>
    <s v="106.94962"/>
    <s v="Blok Palasari RT 23 RW 07, Kelurahan Sudajayagirang, kecamatan Sukabumi, Kab. Sukabumi"/>
    <s v="JABODETABEK (OUTER)"/>
    <x v="15"/>
    <s v="JAWA BARAT"/>
    <s v="52"/>
    <s v="PT. BANJARPASIR NUSA PRATAMA"/>
    <x v="5"/>
    <s v="P"/>
    <n v="-6.8861800000000004"/>
    <n v="106.94962"/>
    <n v="52"/>
    <m/>
    <m/>
    <m/>
    <m/>
    <m/>
    <m/>
    <d v="2021-10-20T00:00:00"/>
    <x v="26"/>
    <d v="2021-11-19T00:00:00"/>
    <x v="54"/>
    <n v="35"/>
    <s v="DONE"/>
    <x v="2"/>
    <m/>
    <x v="5"/>
    <s v="RFC"/>
    <m/>
    <s v="Done SITAC, update VP OG"/>
    <m/>
  </r>
  <r>
    <s v="0010704580011"/>
    <s v="1273661001"/>
    <s v="SKB155"/>
    <s v="TANJUNGJAMPANGKULON"/>
    <s v="TANJUNGJAMPANGKULON"/>
    <s v="NEW BUILD"/>
    <s v="STIP 1"/>
    <s v="TSEL"/>
    <x v="0"/>
    <m/>
    <s v="044441/TBG-TB/TSEL/MKT/09/2021"/>
    <d v="2021-09-03T00:00:00"/>
    <s v="-7.24782"/>
    <s v="106.62646"/>
    <s v="Kp. Neglababakan RT 06 RW 05, Desa Tanjung, Kecamatan Jampang Kulon, Kabupaten Sukabumi"/>
    <s v="JABODETABEK (OUTER)"/>
    <x v="15"/>
    <s v="JAWA BARAT"/>
    <s v="52"/>
    <s v="PT. BANJARPASIR NUSA PRATAMA"/>
    <x v="5"/>
    <s v="S"/>
    <n v="-7.2471100000000002"/>
    <n v="106.62452"/>
    <n v="52"/>
    <m/>
    <m/>
    <m/>
    <m/>
    <m/>
    <m/>
    <d v="2021-10-27T00:00:00"/>
    <x v="27"/>
    <d v="2021-11-26T00:00:00"/>
    <x v="41"/>
    <n v="56"/>
    <s v="DONE"/>
    <x v="2"/>
    <m/>
    <x v="1"/>
    <s v="RFC"/>
    <m/>
    <s v="Eskalasi Approve done, OG Rekom"/>
    <m/>
  </r>
  <r>
    <s v="0010704510011"/>
    <s v="1273611001"/>
    <s v="KRW256"/>
    <s v="TBG KLARI"/>
    <s v="TBG KLARI"/>
    <s v="NEW BUILD"/>
    <s v="STIP 1"/>
    <s v="TSEL"/>
    <x v="0"/>
    <m/>
    <s v="044434/TBG-TB/TSEL/MKT/09/2021"/>
    <d v="2021-09-03T00:00:00"/>
    <s v="-6.34738"/>
    <s v="107.35659"/>
    <s v="Dusun Kopo RT 008 RW 002 Desa Klari, Kecamatan Klari, Kab Karawang"/>
    <s v="JABODETABEK (OUTER)"/>
    <x v="13"/>
    <s v="JAWA BARAT"/>
    <s v="42"/>
    <s v="PT. ORLIE INDONESIA"/>
    <x v="5"/>
    <s v="R"/>
    <n v="-6.3483599999999996"/>
    <n v="107.35751"/>
    <n v="42"/>
    <m/>
    <m/>
    <m/>
    <m/>
    <m/>
    <m/>
    <d v="2021-10-13T00:00:00"/>
    <x v="28"/>
    <d v="2021-11-12T00:00:00"/>
    <x v="58"/>
    <n v="44"/>
    <s v="DONE"/>
    <x v="2"/>
    <m/>
    <x v="5"/>
    <s v="RFC"/>
    <m/>
    <m/>
    <m/>
  </r>
  <r>
    <s v="0230707220231"/>
    <s v="1274311023"/>
    <s v="IN20_JB_0117"/>
    <s v="BOGOR RUMPIN"/>
    <s v="BOGOR RUMPIN"/>
    <s v="NEW BUILD"/>
    <s v="STIP 1"/>
    <s v="SMART8"/>
    <x v="0"/>
    <m/>
    <s v="045936/TBG-TB/SMART8/MKT/09/2021"/>
    <d v="2021-09-14T00:00:00"/>
    <s v="-6.383769"/>
    <s v="106.630629"/>
    <m/>
    <s v="JABODETABEK (OUTER)"/>
    <x v="5"/>
    <s v="JAWA BARAT"/>
    <s v="42"/>
    <s v="PT. TRITAMA AJI LAKSANA"/>
    <x v="5"/>
    <m/>
    <m/>
    <m/>
    <m/>
    <m/>
    <m/>
    <m/>
    <m/>
    <m/>
    <m/>
    <e v="#N/A"/>
    <x v="2"/>
    <e v="#N/A"/>
    <x v="0"/>
    <n v="91"/>
    <m/>
    <x v="0"/>
    <m/>
    <x v="3"/>
    <s v="Hunting"/>
    <m/>
    <s v="KKOP bandara ATANGSANJAYA, need up Clinic"/>
    <m/>
  </r>
  <r>
    <s v="0230708380231"/>
    <s v="1274421023"/>
    <s v="ZBGR_4578"/>
    <s v="PABUARAN BOJONG GEDE"/>
    <s v="Pabuaran Bojong Gede"/>
    <s v="NEW BUILD"/>
    <s v="STIP 1"/>
    <s v="SMART8"/>
    <x v="0"/>
    <m/>
    <s v="046205/TBG-TB/SMART8/MKT/09/2021"/>
    <d v="2021-09-20T00:00:00"/>
    <s v="-6.4554"/>
    <s v="106.79749"/>
    <s v="Kp. Pintu Air RT 001 RW 009, Kelurahan Pabuaran, Kecamatan Bojong Gede, Kab. Bogor"/>
    <s v="JABODETABEK (OUTER)"/>
    <x v="5"/>
    <s v="JAWA BARAT"/>
    <s v="42"/>
    <s v="PT. BANJARPASIR NUSA PRATAMA"/>
    <x v="5"/>
    <s v="A"/>
    <n v="-6.4549599999999998"/>
    <n v="106.79745"/>
    <n v="42"/>
    <m/>
    <m/>
    <m/>
    <m/>
    <m/>
    <m/>
    <e v="#N/A"/>
    <x v="2"/>
    <e v="#N/A"/>
    <x v="59"/>
    <n v="59"/>
    <s v="DONE"/>
    <x v="2"/>
    <m/>
    <x v="6"/>
    <s v="RFC"/>
    <m/>
    <m/>
    <m/>
  </r>
  <r>
    <s v="0010708690011"/>
    <s v="1274441001"/>
    <s v="CBN480"/>
    <s v="BANTARSARIRANCABUNGUR"/>
    <s v="BANTARSARIRANCABUNGUR"/>
    <s v="NEW BUILD"/>
    <s v="STIP 1"/>
    <s v="TSEL"/>
    <x v="0"/>
    <m/>
    <s v="046309/TBG-TB/TSEL/MKT/09/2021"/>
    <d v="2021-09-21T00:00:00"/>
    <s v="-6.5293"/>
    <s v="106.7435"/>
    <s v="Jl. Bantarsari RT 01 RW 06, Desa Bantarsari, Kecamatan Rancabungur, Kabupaten Bogor"/>
    <s v="JABODETABEK (OUTER)"/>
    <x v="5"/>
    <s v="JAWA BARAT"/>
    <s v="52"/>
    <s v="PT. BANJARPASIR NUSA PRATAMA"/>
    <x v="5"/>
    <s v="S"/>
    <n v="106.7433"/>
    <n v="-6.5291100000000002"/>
    <n v="42"/>
    <m/>
    <m/>
    <m/>
    <m/>
    <m/>
    <m/>
    <e v="#N/A"/>
    <x v="2"/>
    <e v="#N/A"/>
    <x v="26"/>
    <n v="70"/>
    <s v="DONE"/>
    <x v="2"/>
    <m/>
    <x v="6"/>
    <s v="RFC"/>
    <m/>
    <m/>
    <m/>
  </r>
  <r>
    <s v="0010708710011"/>
    <s v="1274461001"/>
    <s v="BOX045"/>
    <s v="BUKITCIMANGGUCITY"/>
    <s v="BUKITCIMANGGUCITY"/>
    <s v="NEW BUILD"/>
    <s v="STIP 1"/>
    <s v="TSEL"/>
    <x v="0"/>
    <m/>
    <s v="046311/TBG-TB/TSEL/MKT/09/2021"/>
    <d v="2021-09-21T00:00:00"/>
    <s v="-6.53534"/>
    <s v="106.78978"/>
    <s v="Jalan Raya Kencana RT 05 RW 02, Kelurahan Kencana, Kecamatan Tanah Sereal, Kota Bogor"/>
    <s v="JABODETABEK (OUTER)"/>
    <x v="12"/>
    <s v="JAWA BARAT"/>
    <s v="42"/>
    <s v="PT. TURANGGA EMPAT TIGA"/>
    <x v="5"/>
    <s v="S"/>
    <n v="-6.5344199999999999"/>
    <n v="106.78708"/>
    <n v="42"/>
    <m/>
    <m/>
    <m/>
    <m/>
    <m/>
    <m/>
    <e v="#N/A"/>
    <x v="2"/>
    <e v="#N/A"/>
    <x v="0"/>
    <n v="84"/>
    <m/>
    <x v="0"/>
    <m/>
    <x v="4"/>
    <s v="Rekom Lurah Camat"/>
    <m/>
    <s v="Need justifikasi untuk approval kand T"/>
    <m/>
  </r>
  <r>
    <s v="0010708730011"/>
    <s v="1274481001"/>
    <s v="CBN500"/>
    <s v="CIPEUCANG"/>
    <s v="CIPEUCANG"/>
    <s v="NEW BUILD"/>
    <s v="STIP 1"/>
    <s v="TSEL"/>
    <x v="0"/>
    <m/>
    <s v="046313/TBG-TB/TSEL/MKT/09/2021"/>
    <d v="2021-09-21T00:00:00"/>
    <s v="-6.41207"/>
    <s v="107.05146"/>
    <s v=""/>
    <s v="JABODETABEK (OUTER)"/>
    <x v="5"/>
    <s v="JAWA BARAT"/>
    <s v="52"/>
    <s v="PT. BANJARPASIR NUSA PRATAMA"/>
    <x v="5"/>
    <m/>
    <m/>
    <m/>
    <m/>
    <m/>
    <m/>
    <m/>
    <m/>
    <m/>
    <m/>
    <d v="2021-10-20T00:00:00"/>
    <x v="26"/>
    <d v="2021-11-19T00:00:00"/>
    <x v="58"/>
    <n v="26"/>
    <s v="DONE"/>
    <x v="2"/>
    <m/>
    <x v="5"/>
    <s v="RFC"/>
    <m/>
    <s v="Update RFC on System"/>
    <m/>
  </r>
  <r>
    <s v="0010708700011"/>
    <s v="1274451001"/>
    <s v="CKR349"/>
    <s v="KARANGANYARBAHAGIA"/>
    <s v="KARANGANYARBAHAGIA"/>
    <s v="NEW BUILD"/>
    <s v="STIP 1"/>
    <s v="TSEL"/>
    <x v="0"/>
    <m/>
    <s v="046310/TBG-TB/TSEL/MKT/09/2021"/>
    <d v="2021-09-21T00:00:00"/>
    <s v="-6.20118"/>
    <s v="107.18568"/>
    <s v="Kp. Kedaung RT 001 RW 005, Desa Karang Anyar, Kecamatan Karang Bahagia, Kab. Bekasi"/>
    <s v="JABODETABEK (OUTER)"/>
    <x v="11"/>
    <s v="JAWA BARAT"/>
    <s v="52"/>
    <s v="PT. ORLIE INDONESIA"/>
    <x v="5"/>
    <s v="R"/>
    <n v="-6.2018800000000001"/>
    <n v="107.18420999999999"/>
    <n v="52"/>
    <m/>
    <m/>
    <m/>
    <m/>
    <m/>
    <m/>
    <e v="#N/A"/>
    <x v="2"/>
    <e v="#N/A"/>
    <x v="26"/>
    <n v="70"/>
    <s v="DONE"/>
    <x v="2"/>
    <m/>
    <x v="6"/>
    <s v="Rekom Lurah Camat"/>
    <m/>
    <m/>
    <s v="NY Validate"/>
  </r>
  <r>
    <s v="0010714710011"/>
    <s v="1275311001"/>
    <s v="CKR346"/>
    <s v="KARANGSETIAKARANGBAHAGIA"/>
    <s v="KARANGSETIAKARANGBAHAGIA"/>
    <s v="NEW BUILD"/>
    <s v="STIP 1"/>
    <s v="TSEL"/>
    <x v="0"/>
    <m/>
    <s v="047730/TBG-TB/TSEL/MKT/10/2021"/>
    <d v="2021-10-25T00:00:00"/>
    <s v="-6.21825"/>
    <s v="107.1747"/>
    <s v=""/>
    <s v="JABODETABEK (OUTER)"/>
    <x v="11"/>
    <s v="JAWA BARAT"/>
    <s v="52"/>
    <s v="PT. AULIA DANARDANA"/>
    <x v="5"/>
    <m/>
    <m/>
    <m/>
    <m/>
    <m/>
    <m/>
    <m/>
    <m/>
    <m/>
    <m/>
    <e v="#N/A"/>
    <x v="2"/>
    <e v="#N/A"/>
    <x v="0"/>
    <n v="50"/>
    <m/>
    <x v="0"/>
    <m/>
    <x v="4"/>
    <s v="IW On Going"/>
    <m/>
    <m/>
    <s v="NY Validate"/>
  </r>
  <r>
    <m/>
    <m/>
    <s v="JSX942"/>
    <s v="M. KAHFI 3"/>
    <s v="MKAHFISRENGSENG"/>
    <s v="NEW MCP NON FO"/>
    <s v="STIP 1"/>
    <s v="TSEL"/>
    <x v="1"/>
    <m/>
    <m/>
    <m/>
    <n v="-6.3431699999999998"/>
    <n v="106.81726999999999"/>
    <m/>
    <s v="JABODETABEK (INNER)"/>
    <x v="4"/>
    <s v="DKI JAKARTA"/>
    <n v="20"/>
    <s v="PT. KARYA LINTAS SEJAHTERA"/>
    <x v="1"/>
    <m/>
    <m/>
    <m/>
    <n v="20"/>
    <m/>
    <m/>
    <m/>
    <m/>
    <m/>
    <m/>
    <d v="2021-01-20T00:00:00"/>
    <x v="29"/>
    <d v="2021-02-19T00:00:00"/>
    <x v="0"/>
    <n v="0"/>
    <s v="DONE"/>
    <x v="0"/>
    <m/>
    <x v="1"/>
    <m/>
    <m/>
    <m/>
    <m/>
  </r>
  <r>
    <s v="0010708680011"/>
    <s v="1134881001"/>
    <s v="JTX539"/>
    <s v="PERMANENASRAMAHAJI"/>
    <s v="PERMANENASRAMAHAJI"/>
    <s v="NEW MCP NON FO"/>
    <s v="STIP 1"/>
    <s v="TSEL"/>
    <x v="0"/>
    <m/>
    <s v="046308/TBG-TB/TSEL/MKT/09/2021"/>
    <d v="2021-09-21T00:00:00"/>
    <s v="-6.28582"/>
    <s v="106.88461"/>
    <s v=""/>
    <s v="JABODETABEK (INNER)"/>
    <x v="3"/>
    <s v="DKI JAKARTA"/>
    <s v="25"/>
    <s v="PT. KARYA LINTAS SEJAHTERA"/>
    <x v="5"/>
    <m/>
    <n v="-6.2845300000000002"/>
    <n v="106.88489"/>
    <m/>
    <m/>
    <m/>
    <m/>
    <m/>
    <m/>
    <m/>
    <e v="#N/A"/>
    <x v="2"/>
    <e v="#N/A"/>
    <x v="0"/>
    <n v="84"/>
    <m/>
    <x v="0"/>
    <m/>
    <x v="3"/>
    <s v="Rehunting"/>
    <m/>
    <s v="Lahan corporate milik UPT Asrama haji"/>
    <m/>
  </r>
  <r>
    <m/>
    <m/>
    <s v="BKX431"/>
    <s v="PERMANENCOMBATJAKAPERMAI"/>
    <m/>
    <m/>
    <s v="STIP 1"/>
    <s v="TSEL"/>
    <x v="2"/>
    <m/>
    <m/>
    <m/>
    <m/>
    <m/>
    <m/>
    <m/>
    <x v="7"/>
    <m/>
    <m/>
    <s v="PT. CATRA MEDIA INDONESIA"/>
    <x v="5"/>
    <m/>
    <n v="106.88489"/>
    <m/>
    <m/>
    <m/>
    <m/>
    <m/>
    <m/>
    <m/>
    <m/>
    <e v="#N/A"/>
    <x v="2"/>
    <e v="#N/A"/>
    <x v="0"/>
    <n v="44544"/>
    <m/>
    <x v="0"/>
    <m/>
    <x v="3"/>
    <s v="Rehunting"/>
    <m/>
    <m/>
    <m/>
  </r>
  <r>
    <m/>
    <m/>
    <s v="BKX430"/>
    <s v="PERMANENCOMBATPERUMPTMBEKASI"/>
    <m/>
    <m/>
    <s v="STIP 1"/>
    <s v="TSEL"/>
    <x v="2"/>
    <m/>
    <m/>
    <m/>
    <m/>
    <m/>
    <m/>
    <m/>
    <x v="7"/>
    <m/>
    <m/>
    <s v="PT. CATRA MEDIA INDONESIA"/>
    <x v="5"/>
    <m/>
    <m/>
    <m/>
    <m/>
    <m/>
    <m/>
    <m/>
    <m/>
    <m/>
    <m/>
    <e v="#N/A"/>
    <x v="2"/>
    <e v="#N/A"/>
    <x v="0"/>
    <n v="44544"/>
    <m/>
    <x v="0"/>
    <m/>
    <x v="3"/>
    <s v="Rehunting"/>
    <m/>
    <m/>
    <m/>
  </r>
  <r>
    <s v="0010714570011"/>
    <s v="1135111001"/>
    <s v="JTX541"/>
    <s v="PERMANENCOMBATPTPUTIK"/>
    <s v="PERMANENCOMBATPTPUTIK"/>
    <s v="NEW MCP NON FO"/>
    <s v="STIP 1"/>
    <s v="TSEL"/>
    <x v="0"/>
    <m/>
    <s v="047716/TBG-TB/TSEL/MKT/10/2021"/>
    <d v="2021-10-25T00:00:00"/>
    <s v="-6.18925"/>
    <s v="106.92519"/>
    <s v=""/>
    <s v="JABODETABEK (INNER)"/>
    <x v="3"/>
    <s v="DKI JAKARTA"/>
    <s v="25"/>
    <s v="PT. KARYA LINTAS SEJAHTERA"/>
    <x v="5"/>
    <s v="R"/>
    <n v="-6.1892500000000004"/>
    <n v="106.92519"/>
    <n v="25"/>
    <m/>
    <m/>
    <m/>
    <m/>
    <m/>
    <m/>
    <e v="#N/A"/>
    <x v="2"/>
    <e v="#N/A"/>
    <x v="56"/>
    <n v="14"/>
    <s v="DONE"/>
    <x v="2"/>
    <m/>
    <x v="6"/>
    <s v="RFC"/>
    <m/>
    <m/>
    <s v="NY Validate"/>
  </r>
  <r>
    <s v="0010709080011"/>
    <s v="1274531001"/>
    <s v="BOX049"/>
    <s v="PERMANENCOMBATRAYASEMPLAK"/>
    <s v="PERMANENCOMBATRAYASEMPLAK"/>
    <s v="NEW BUILD"/>
    <s v="STIP 1"/>
    <s v="TSEL"/>
    <x v="0"/>
    <m/>
    <s v="046400/TBG-TB/TSEL/MKT/09/2021"/>
    <d v="2021-09-22T00:00:00"/>
    <s v="-6.55816"/>
    <s v="106.76346"/>
    <s v=""/>
    <s v="JABODETABEK (OUTER)"/>
    <x v="12"/>
    <s v="JAWA BARAT"/>
    <s v="42"/>
    <s v="PT. TURANGGA EMPAT TIGA"/>
    <x v="5"/>
    <m/>
    <m/>
    <m/>
    <m/>
    <m/>
    <m/>
    <m/>
    <m/>
    <m/>
    <m/>
    <e v="#N/A"/>
    <x v="2"/>
    <e v="#N/A"/>
    <x v="0"/>
    <n v="83"/>
    <m/>
    <x v="0"/>
    <m/>
    <x v="4"/>
    <s v="IW Clear"/>
    <m/>
    <m/>
    <m/>
  </r>
  <r>
    <s v="0010709120011"/>
    <s v="1274551001"/>
    <s v="CBN623"/>
    <s v="PERMANENCOMBATTIRTAWARNARUMPIN"/>
    <s v="PERMANENCOMBATTIRTAWARNARUMPIN"/>
    <s v="NEW BUILD"/>
    <s v="STIP 1"/>
    <s v="TSEL"/>
    <x v="0"/>
    <m/>
    <s v="046404/TBG-TB/TSEL/MKT/09/2021"/>
    <d v="2021-09-22T00:00:00"/>
    <s v="-6.37718"/>
    <s v="106.63531"/>
    <s v="Kp Legok Nyerang RT 002 RW 007 Desa Sukamulya Kecamatan Rumpin, Kab. Rumpin"/>
    <s v="JABODETABEK (OUTER)"/>
    <x v="5"/>
    <s v="JAWA BARAT"/>
    <s v="42"/>
    <s v="PT. TRITAMA AJI LAKSANA"/>
    <x v="5"/>
    <s v="P"/>
    <n v="-6.3771800000000001"/>
    <n v="106.63531"/>
    <n v="42"/>
    <m/>
    <m/>
    <m/>
    <m/>
    <m/>
    <m/>
    <e v="#N/A"/>
    <x v="2"/>
    <e v="#N/A"/>
    <x v="0"/>
    <n v="83"/>
    <m/>
    <x v="0"/>
    <m/>
    <x v="3"/>
    <s v="Rehunting"/>
    <m/>
    <m/>
    <m/>
  </r>
  <r>
    <s v="0010709110011"/>
    <s v="1322591001"/>
    <s v="TGR555"/>
    <s v="PERMANENDANGDANGCISAUK2"/>
    <s v="PERMANENDANGDANGCISAUK2"/>
    <s v="NEW BUILD"/>
    <s v="STIP 1"/>
    <s v="TSEL"/>
    <x v="0"/>
    <m/>
    <s v="046403/TBG-TB/TSEL/MKT/09/2021"/>
    <d v="2021-09-22T00:00:00"/>
    <s v="-6.3567"/>
    <s v="106.62048"/>
    <s v="Kp. Dukuh  RT 011 RW.004  Desa Dangdang Kecamatan Cisauk Kabupaten Tangerang"/>
    <s v="JABODETABEK (OUTER)"/>
    <x v="1"/>
    <s v="BANTEN"/>
    <s v="42"/>
    <s v="PT. CATRA MEDIA INDONESIA"/>
    <x v="6"/>
    <s v="P"/>
    <n v="-6.3567"/>
    <n v="106.62048"/>
    <n v="42"/>
    <m/>
    <m/>
    <m/>
    <m/>
    <m/>
    <m/>
    <d v="2021-10-12T00:00:00"/>
    <x v="30"/>
    <d v="2021-11-11T00:00:00"/>
    <x v="41"/>
    <n v="37"/>
    <s v="DONE"/>
    <x v="2"/>
    <m/>
    <x v="1"/>
    <s v="RFC"/>
    <m/>
    <m/>
    <m/>
  </r>
  <r>
    <s v="0010709100011"/>
    <s v="1322581001"/>
    <s v="TGR553"/>
    <s v="PERMANENDRIYACATANIA"/>
    <s v="PERMANENDRIYACATANIA"/>
    <s v="NEW BUILD"/>
    <s v="STIP 1"/>
    <s v="TSEL"/>
    <x v="0"/>
    <m/>
    <s v="046402/TBG-TB/TSEL/MKT/09/2021"/>
    <d v="2021-09-22T00:00:00"/>
    <s v="-6.27635"/>
    <s v="106.53189"/>
    <s v="Kp Panongan RT.01 RW.04, Desa Panongan, Kec. Panongan, Kab. Tangerang"/>
    <s v="JABODETABEK (OUTER)"/>
    <x v="1"/>
    <s v="BANTEN"/>
    <s v="42"/>
    <s v="PT. CATRA MEDIA INDONESIA"/>
    <x v="6"/>
    <s v="P"/>
    <n v="-6.2763499999999999"/>
    <n v="106.53189"/>
    <n v="42"/>
    <m/>
    <m/>
    <m/>
    <m/>
    <m/>
    <m/>
    <e v="#N/A"/>
    <x v="2"/>
    <e v="#N/A"/>
    <x v="60"/>
    <n v="58"/>
    <s v="DONE"/>
    <x v="2"/>
    <m/>
    <x v="6"/>
    <s v="RFC"/>
    <m/>
    <m/>
    <m/>
  </r>
  <r>
    <s v="0010714690011"/>
    <s v="1275291001"/>
    <s v="CKR364"/>
    <s v="PERMANENKAREDOKCIBARUSAH"/>
    <s v="PERMANENKAREDOKCIBARUSAH"/>
    <s v="NEW BUILD"/>
    <s v="STIP 1"/>
    <s v="TSEL"/>
    <x v="0"/>
    <m/>
    <s v="047728/TBG-TB/TSEL/MKT/10/2021"/>
    <d v="2021-10-25T00:00:00"/>
    <s v="-6.40507"/>
    <s v="107.08378"/>
    <s v="Kp. Sampora RT 015 RW 007 Desa Jayamulya, Kec. Serang Baru, Kabupaten Bekasi, Jawa Barat"/>
    <s v="JABODETABEK (OUTER)"/>
    <x v="11"/>
    <s v="JAWA BARAT"/>
    <s v="42"/>
    <s v="PT. AULIA DANARDANA"/>
    <x v="5"/>
    <s v="P"/>
    <n v="-6.4050700000000003"/>
    <n v="107.08378"/>
    <n v="42"/>
    <m/>
    <m/>
    <m/>
    <m/>
    <m/>
    <m/>
    <e v="#N/A"/>
    <x v="2"/>
    <e v="#N/A"/>
    <x v="0"/>
    <n v="50"/>
    <m/>
    <x v="0"/>
    <m/>
    <x v="4"/>
    <s v="IW On Going"/>
    <m/>
    <m/>
    <m/>
  </r>
  <r>
    <s v="0010714680011"/>
    <s v="1275281001"/>
    <s v="CBN618"/>
    <s v="PERMANENKERTAJAYARUMPIN"/>
    <s v="PERMANENKERTAJAYARUMPIN"/>
    <s v="NEW BUILD"/>
    <s v="STIP 1"/>
    <s v="TSEL"/>
    <x v="0"/>
    <m/>
    <s v="047727/TBG-TB/TSEL/MKT/10/2021"/>
    <d v="2021-10-25T00:00:00"/>
    <s v="-6.38655"/>
    <s v="106.61019"/>
    <s v="Kp. Kemang RT 002/RW 004, Desa Mekarsari, Kecamatan Rumpin, Bogor"/>
    <s v="JABODETABEK (OUTER)"/>
    <x v="5"/>
    <s v="JAWA BARAT"/>
    <s v="42"/>
    <s v="PT. TRITAMA AJI LAKSANA"/>
    <x v="5"/>
    <s v="R"/>
    <n v="-6.3858699999999997"/>
    <n v="106.61203999999999"/>
    <n v="42"/>
    <m/>
    <m/>
    <m/>
    <m/>
    <m/>
    <m/>
    <e v="#N/A"/>
    <x v="2"/>
    <e v="#N/A"/>
    <x v="61"/>
    <n v="42"/>
    <s v="DONE"/>
    <x v="2"/>
    <m/>
    <x v="4"/>
    <s v="Rekom Lurah Camat"/>
    <m/>
    <m/>
    <s v="NY Validate"/>
  </r>
  <r>
    <s v="0010709070011"/>
    <s v="1274521001"/>
    <s v="CBN614"/>
    <s v="PERMANENLEBAKWANGI2"/>
    <s v="PERMANENLEBAKWANGI2"/>
    <s v="NEW BUILD"/>
    <s v="STIP 1"/>
    <s v="TSEL"/>
    <x v="0"/>
    <m/>
    <s v="046398/TBG-TB/TSEL/MKT/09/2021"/>
    <d v="2021-09-22T00:00:00"/>
    <s v="-6.43032"/>
    <s v="106.54474"/>
    <s v=""/>
    <s v="JABODETABEK (OUTER)"/>
    <x v="5"/>
    <s v="JAWA BARAT"/>
    <s v="42"/>
    <s v="PT. TRITAMA AJI LAKSANA"/>
    <x v="5"/>
    <m/>
    <m/>
    <m/>
    <m/>
    <m/>
    <m/>
    <m/>
    <m/>
    <m/>
    <m/>
    <e v="#N/A"/>
    <x v="2"/>
    <e v="#N/A"/>
    <x v="0"/>
    <n v="83"/>
    <m/>
    <x v="0"/>
    <m/>
    <x v="3"/>
    <s v="Rehunting"/>
    <m/>
    <m/>
    <s v="NY Validate"/>
  </r>
  <r>
    <m/>
    <m/>
    <s v="CKR366"/>
    <s v="PERMANENPERUMPERMATAINDAH"/>
    <s v="PERMANENPERUMPERMATAINDAH"/>
    <s v="NEW BUILD"/>
    <s v="STIP 1"/>
    <s v="TSEL"/>
    <x v="0"/>
    <m/>
    <m/>
    <m/>
    <s v="-6.25151"/>
    <s v="107.24269"/>
    <m/>
    <s v="JABODETABEK (OUTER)"/>
    <x v="11"/>
    <s v="JAWA BARAT"/>
    <n v="42"/>
    <s v="PT. ROTUA"/>
    <x v="5"/>
    <m/>
    <m/>
    <m/>
    <m/>
    <m/>
    <m/>
    <m/>
    <m/>
    <m/>
    <m/>
    <e v="#N/A"/>
    <x v="2"/>
    <e v="#N/A"/>
    <x v="0"/>
    <n v="44544"/>
    <m/>
    <x v="0"/>
    <m/>
    <x v="3"/>
    <s v="Rehunting"/>
    <m/>
    <m/>
    <s v="NY Validate"/>
  </r>
  <r>
    <s v="0010709090011"/>
    <s v="1274541001"/>
    <s v="CKR368"/>
    <s v="PERMANENPERUMSERANGSELALU"/>
    <s v="PERMANENPERUMSERANGSELALU"/>
    <s v="NEW BUILD"/>
    <s v="STIP 1"/>
    <s v="TSEL"/>
    <x v="0"/>
    <m/>
    <s v="046401/TBG-TB/TSEL/MKT/09/2021"/>
    <d v="2021-09-22T00:00:00"/>
    <s v="-6.39291"/>
    <s v="107.15075"/>
    <s v="Kp Karang Sambung RT 008 RW 004 Desa Nagasari, Kec. Serang Baru, Kabupaten Bekasi"/>
    <s v="JABODETABEK (OUTER)"/>
    <x v="11"/>
    <s v="JAWA BARAT"/>
    <s v="42"/>
    <s v="PT. AULIA DANARDANA"/>
    <x v="5"/>
    <s v="P"/>
    <n v="-6.3925700000000001"/>
    <n v="107.15038"/>
    <n v="42"/>
    <m/>
    <m/>
    <m/>
    <m/>
    <m/>
    <m/>
    <d v="2021-10-12T00:00:00"/>
    <x v="30"/>
    <d v="2021-11-11T00:00:00"/>
    <x v="41"/>
    <n v="37"/>
    <s v="DONE"/>
    <x v="2"/>
    <m/>
    <x v="1"/>
    <s v="RFC"/>
    <m/>
    <m/>
    <m/>
  </r>
  <r>
    <m/>
    <m/>
    <s v="CKR367"/>
    <s v="PERMANENPTIDEMITSU"/>
    <s v="PERMANENPTIDEMITSU"/>
    <s v="NEW BUILD"/>
    <s v="STIP 1"/>
    <s v="TSEL"/>
    <x v="0"/>
    <m/>
    <m/>
    <m/>
    <n v="-6.39968"/>
    <n v="107.21253"/>
    <s v="Kp. Rawadomba RT 013 RW 006 Desa Sukabunga Kec. Bojongmangu, Kabupaten Bekasi, Jawa Barat"/>
    <s v="JABODETABEK (OUTER)"/>
    <x v="11"/>
    <s v="JAWA BARAT"/>
    <n v="42"/>
    <s v="PT. AULIA DANARDANA"/>
    <x v="5"/>
    <s v="P"/>
    <n v="-6.3997599999999997"/>
    <n v="107.21254999999999"/>
    <n v="42"/>
    <m/>
    <m/>
    <m/>
    <m/>
    <m/>
    <m/>
    <e v="#N/A"/>
    <x v="2"/>
    <e v="#N/A"/>
    <x v="0"/>
    <n v="44544"/>
    <m/>
    <x v="0"/>
    <m/>
    <x v="4"/>
    <s v="SITAC Done"/>
    <m/>
    <m/>
    <s v="NY Validate"/>
  </r>
  <r>
    <s v="0010709060011"/>
    <s v="1274511001"/>
    <s v="CKR363"/>
    <s v="PERMANENRAYAPEBANYURANN"/>
    <s v="PERMANENRAYAPEBANYURANN"/>
    <s v="NEW BUILD"/>
    <s v="STIP 1"/>
    <s v="TSEL"/>
    <x v="0"/>
    <m/>
    <s v="046396/TBG-TB/TSEL/MKT/09/2021"/>
    <d v="2021-09-22T00:00:00"/>
    <s v="-6.23078"/>
    <s v="107.26785"/>
    <s v="Jln Kampung Wate RT 03 RW 04, Desa Karang Mekar. Kecamatan Kedungwaringin, Kab. Bekasi, Jawa Barat"/>
    <s v="JABODETABEK (OUTER)"/>
    <x v="11"/>
    <s v="JAWA BARAT"/>
    <s v="42"/>
    <s v="PT. TURANGGA EMPAT TIGA"/>
    <x v="5"/>
    <s v="R"/>
    <n v="-6.2304899999999996"/>
    <n v="107.26519999999999"/>
    <n v="42"/>
    <m/>
    <m/>
    <m/>
    <m/>
    <m/>
    <m/>
    <e v="#N/A"/>
    <x v="2"/>
    <e v="#N/A"/>
    <x v="61"/>
    <n v="75"/>
    <s v="DONE"/>
    <x v="2"/>
    <m/>
    <x v="4"/>
    <s v="Rekom Lurah Camat"/>
    <m/>
    <m/>
    <s v="NY Validate"/>
  </r>
  <r>
    <s v="0030705690031"/>
    <s v="1274061003"/>
    <s v="JAW-JB-CKR-0068"/>
    <s v="Pondok Ungu Permai Relocation"/>
    <s v="Pondok Ungu Permai Relocation"/>
    <s v="NEW BUILD"/>
    <s v="STIP 1"/>
    <s v="XL"/>
    <x v="0"/>
    <m/>
    <s v="045223/TBG-TB/XL/MKT/09/2021"/>
    <d v="2021-09-08T00:00:00"/>
    <s v="-6.179669"/>
    <s v="107.012981"/>
    <m/>
    <s v="JABODETABEK (OUTER)"/>
    <x v="7"/>
    <s v="JAWA BARAT"/>
    <n v="32"/>
    <s v="PT. CATRA MEDIA INDONESIA"/>
    <x v="5"/>
    <m/>
    <m/>
    <m/>
    <m/>
    <m/>
    <m/>
    <m/>
    <m/>
    <m/>
    <m/>
    <e v="#N/A"/>
    <x v="2"/>
    <e v="#N/A"/>
    <x v="0"/>
    <n v="97"/>
    <m/>
    <x v="0"/>
    <m/>
    <x v="4"/>
    <s v="IW On Going"/>
    <m/>
    <m/>
    <m/>
  </r>
  <r>
    <s v="0010708720011"/>
    <s v="1274471001"/>
    <s v="CKR360"/>
    <s v="TELAGAMURNICIKARANGBARAT"/>
    <s v="TELAGAMURNICIKARANGBARAT"/>
    <s v="NEW BUILD"/>
    <s v="STIP 1"/>
    <s v="TSEL"/>
    <x v="0"/>
    <m/>
    <s v="046312/TBG-TB/TSEL/MKT/09/2021"/>
    <d v="2021-09-21T00:00:00"/>
    <s v="-6.24663"/>
    <s v="107.1228"/>
    <s v="Jln Kampung Sri Bodas RT 03 RW 09 Desa Telaga Murni, Kecamatan Cikarang Barat, Kab. Bekasi"/>
    <s v="JABODETABEK (OUTER)"/>
    <x v="11"/>
    <s v="JAWA BARAT"/>
    <s v="52"/>
    <s v="PT. ABBASY"/>
    <x v="5"/>
    <s v="R"/>
    <n v="-6.2487000000000004"/>
    <n v="107.12621"/>
    <n v="52"/>
    <m/>
    <m/>
    <m/>
    <m/>
    <m/>
    <m/>
    <e v="#N/A"/>
    <x v="2"/>
    <e v="#N/A"/>
    <x v="0"/>
    <n v="84"/>
    <m/>
    <x v="0"/>
    <m/>
    <x v="4"/>
    <s v="Rekom Lurah Camat"/>
    <m/>
    <m/>
    <s v="NY Validate"/>
  </r>
  <r>
    <s v="0010714700011"/>
    <s v="1275301001"/>
    <s v="CKR361"/>
    <s v="WALUYACIKARANGUTARA"/>
    <s v="WALUYACIKARANGUTARA"/>
    <s v="NEW BUILD"/>
    <s v="STIP 1"/>
    <s v="TSEL"/>
    <x v="0"/>
    <m/>
    <s v="047729/TBG-TB/TSEL/MKT/10/2021"/>
    <d v="2021-10-25T00:00:00"/>
    <s v="-6.25926"/>
    <s v="107.1906"/>
    <m/>
    <s v="JABODETABEK (OUTER)"/>
    <x v="11"/>
    <s v="JAWA BARAT"/>
    <s v="42"/>
    <s v="PT. ABBASY"/>
    <x v="5"/>
    <m/>
    <m/>
    <m/>
    <m/>
    <m/>
    <m/>
    <m/>
    <m/>
    <m/>
    <m/>
    <e v="#N/A"/>
    <x v="2"/>
    <e v="#N/A"/>
    <x v="0"/>
    <n v="50"/>
    <m/>
    <x v="0"/>
    <m/>
    <x v="4"/>
    <s v="IW On Going"/>
    <m/>
    <s v="Lahan corporate milik PT Bumi Cipta Lestari"/>
    <s v="NY Validate"/>
  </r>
  <r>
    <s v="0230707930231"/>
    <s v="1274391023"/>
    <s v="INBGR4334-3"/>
    <s v="PAMIJAHAN BOGOR 3"/>
    <s v="Pamijahan Bogor 3"/>
    <s v="NEW BUILD"/>
    <s v="STIP 1"/>
    <s v="SMART8"/>
    <x v="0"/>
    <m/>
    <s v="046160/TBG-TB/SMART8/MKT/09/2021"/>
    <d v="2021-09-20T00:00:00"/>
    <s v="-6.60809"/>
    <s v="106.6679"/>
    <s v="Kp. Cimayang Asem RT 06 RW 02, Desa Cimayang, Kecamatan Pamijahan, Kabupaten Bogor"/>
    <s v="JABODETABEK (OUTER)"/>
    <x v="5"/>
    <s v="JAWA BARAT"/>
    <s v="52"/>
    <s v="PT. DATATEL"/>
    <x v="5"/>
    <s v="C"/>
    <n v="-6.6087999999999996"/>
    <n v="106.66561"/>
    <n v="52"/>
    <m/>
    <m/>
    <m/>
    <m/>
    <m/>
    <m/>
    <e v="#N/A"/>
    <x v="2"/>
    <e v="#N/A"/>
    <x v="62"/>
    <n v="80"/>
    <s v="DONE"/>
    <x v="2"/>
    <m/>
    <x v="4"/>
    <s v="IW Clear"/>
    <m/>
    <s v="Submit eskalasi SITAC 14.10"/>
    <m/>
  </r>
  <r>
    <s v="0230707770231"/>
    <s v="1322571023"/>
    <s v="INJB21_0244"/>
    <s v="TANGERANG LEGOK"/>
    <s v="TANGERANG LEGOK"/>
    <s v="NEW BUILD"/>
    <s v="STIP 1"/>
    <s v="SMART8"/>
    <x v="0"/>
    <m/>
    <s v="046144/TBG-TB/SMART8/MKT/09/2021"/>
    <d v="2021-09-20T00:00:00"/>
    <s v="-6.30039"/>
    <s v="106.585"/>
    <s v=""/>
    <s v="JABODETABEK (OUTER)"/>
    <x v="1"/>
    <s v="BANTEN"/>
    <s v="42"/>
    <s v="PT. BANJARPASIR NUSA PRATAMA"/>
    <x v="6"/>
    <m/>
    <m/>
    <m/>
    <m/>
    <m/>
    <m/>
    <m/>
    <m/>
    <m/>
    <m/>
    <e v="#N/A"/>
    <x v="2"/>
    <e v="#N/A"/>
    <x v="0"/>
    <n v="85"/>
    <m/>
    <x v="0"/>
    <m/>
    <x v="3"/>
    <s v="Hunting"/>
    <m/>
    <s v="KKOP bandara "/>
    <s v="Justifikasi Report, "/>
  </r>
  <r>
    <s v="0230707780231"/>
    <s v="1274361023"/>
    <s v="ZBGR_4576"/>
    <s v="BOGOR SUKARAJA 2"/>
    <s v="BOGOR SUKARAJA 2"/>
    <s v="NEW BUILD"/>
    <s v="STIP 1"/>
    <s v="SMART8"/>
    <x v="0"/>
    <m/>
    <s v="046145/TBG-TB/SMART8/MKT/09/2021"/>
    <d v="2021-09-20T00:00:00"/>
    <s v="-6.518757"/>
    <s v="106.843372"/>
    <s v="Kp. Babakan Rawahaur RT 03 RW 05, Desa Sentul, Kec. Babakan, Kab. Bogor"/>
    <s v="JABODETABEK (OUTER)"/>
    <x v="5"/>
    <s v="JAWA BARAT"/>
    <s v="42"/>
    <s v="PT. DWI PILAR PRATAMA"/>
    <x v="5"/>
    <s v="A"/>
    <n v="-6.5183299999999997"/>
    <n v="106.84592000000001"/>
    <n v="42"/>
    <m/>
    <m/>
    <m/>
    <m/>
    <m/>
    <m/>
    <e v="#N/A"/>
    <x v="2"/>
    <e v="#N/A"/>
    <x v="0"/>
    <n v="85"/>
    <m/>
    <x v="0"/>
    <m/>
    <x v="4"/>
    <s v="IW On Going"/>
    <m/>
    <s v="Validasi OG"/>
    <m/>
  </r>
  <r>
    <s v="0260713990261"/>
    <s v="1135101026"/>
    <s v="JKS-TBG21-0001"/>
    <s v="RAGUNANRAYA"/>
    <s v="RAGUNANRAYA"/>
    <s v="NEW BUILD"/>
    <s v="STIP 1"/>
    <s v="TBG"/>
    <x v="0"/>
    <s v="047620/TBG-TB/TBG/MKT/10/2021"/>
    <s v="047620/TBG-TB/TBG/MKT/10/2021"/>
    <d v="2021-10-19T00:00:00"/>
    <s v="-6.282181"/>
    <s v="106.83391"/>
    <s v=""/>
    <s v="JABODETABEK (INNER)"/>
    <x v="4"/>
    <s v="DKI JAKARTA"/>
    <s v="32"/>
    <m/>
    <x v="0"/>
    <m/>
    <m/>
    <m/>
    <m/>
    <m/>
    <m/>
    <m/>
    <m/>
    <m/>
    <m/>
    <e v="#N/A"/>
    <x v="2"/>
    <e v="#N/A"/>
    <x v="0"/>
    <n v="56"/>
    <m/>
    <x v="0"/>
    <m/>
    <x v="4"/>
    <s v="SITAC Done"/>
    <m/>
    <m/>
    <m/>
  </r>
  <r>
    <s v="0030712640031"/>
    <s v="1135001003"/>
    <s v="JAW-JK-CKG-0743"/>
    <s v="JAW-JK-CKG-0743"/>
    <s v="RAYA BOGOR RELOCATION"/>
    <s v="NEW BUILD"/>
    <s v="STIP 1"/>
    <s v="XL"/>
    <x v="1"/>
    <m/>
    <s v="047275/TBG-PKP/XL/MKT/10/2021"/>
    <d v="2021-10-08T00:00:00"/>
    <s v="-6.34322"/>
    <s v="106.869"/>
    <s v=""/>
    <s v="JABODETABEK (INNER)"/>
    <x v="3"/>
    <s v="DKI JAKARTA"/>
    <s v="25"/>
    <m/>
    <x v="0"/>
    <m/>
    <m/>
    <m/>
    <m/>
    <m/>
    <m/>
    <m/>
    <m/>
    <m/>
    <m/>
    <e v="#N/A"/>
    <x v="2"/>
    <e v="#N/A"/>
    <x v="0"/>
    <n v="67"/>
    <m/>
    <x v="0"/>
    <m/>
    <x v="4"/>
    <s v="Rekom Lurah Camat"/>
    <m/>
    <m/>
    <m/>
  </r>
  <r>
    <s v="0010714820011"/>
    <s v="1135191001"/>
    <s v="JBX313"/>
    <s v="RELOCKOSAMBIBARU"/>
    <s v="RELOCKOSAMBIBARU"/>
    <s v="NEW MCP NON FO"/>
    <s v="STIP 1"/>
    <s v="TSEL"/>
    <x v="1"/>
    <m/>
    <s v="047746/TBG-PKP/TSEL/MKT/10/2021"/>
    <d v="2021-10-26T00:00:00"/>
    <s v="-6.17858"/>
    <s v="106.7166"/>
    <s v=""/>
    <s v="JABODETABEK (INNER)"/>
    <x v="2"/>
    <s v="DKI JAKARTA"/>
    <s v="25"/>
    <s v="PT. KARYA LINTAS SEJAHTERA"/>
    <x v="0"/>
    <s v="B"/>
    <n v="-6.1785800000000002"/>
    <n v="106.7166"/>
    <n v="25"/>
    <m/>
    <m/>
    <m/>
    <m/>
    <m/>
    <m/>
    <e v="#N/A"/>
    <x v="2"/>
    <e v="#N/A"/>
    <x v="63"/>
    <n v="8"/>
    <s v="DONE"/>
    <x v="0"/>
    <m/>
    <x v="1"/>
    <s v="RFC"/>
    <m/>
    <m/>
    <m/>
  </r>
  <r>
    <s v="0040714980041"/>
    <s v="1275381004"/>
    <s v="03SUK682"/>
    <s v="UBRUG_WARUNGKIARA_SUK"/>
    <s v="UBRUG_WARUNGKIARA_SUK"/>
    <s v="NEW BUILD"/>
    <s v="STIP 1"/>
    <s v="ISAT"/>
    <x v="0"/>
    <m/>
    <s v="048048/TBG-TB/ISAT/MKT/10/2021"/>
    <d v="2021-10-29T00:00:00"/>
    <s v="-6.953746"/>
    <s v="106.748922"/>
    <s v=""/>
    <s v="JABODETABEK (OUTER)"/>
    <x v="15"/>
    <s v="JAWA BARAT"/>
    <s v="42"/>
    <m/>
    <x v="0"/>
    <m/>
    <m/>
    <m/>
    <m/>
    <m/>
    <m/>
    <m/>
    <m/>
    <m/>
    <m/>
    <e v="#N/A"/>
    <x v="2"/>
    <e v="#N/A"/>
    <x v="0"/>
    <n v="46"/>
    <m/>
    <x v="0"/>
    <m/>
    <x v="3"/>
    <s v="Approval Operator"/>
    <m/>
    <m/>
    <m/>
  </r>
  <r>
    <s v="0040714960041"/>
    <s v="1275361004"/>
    <s v="03CKR841"/>
    <s v="CILANGKARA_SERANGBARU_CKR"/>
    <s v="CILANGKARA_SERANGBARU_CKR"/>
    <s v="NEW BUILD"/>
    <s v="STIP 1"/>
    <s v="ISAT"/>
    <x v="0"/>
    <m/>
    <s v="048046/TBG-TB/ISAT/MKT/10/2021"/>
    <d v="2021-10-29T00:00:00"/>
    <s v="-6.395015"/>
    <s v="107.148203"/>
    <s v=""/>
    <s v="JABODETABEK (OUTER)"/>
    <x v="11"/>
    <s v="JAWA BARAT"/>
    <s v="52"/>
    <m/>
    <x v="0"/>
    <m/>
    <m/>
    <m/>
    <m/>
    <m/>
    <m/>
    <m/>
    <m/>
    <m/>
    <m/>
    <m/>
    <x v="19"/>
    <m/>
    <x v="0"/>
    <n v="46"/>
    <m/>
    <x v="0"/>
    <m/>
    <x v="2"/>
    <s v="DROP"/>
    <m/>
    <m/>
    <m/>
  </r>
  <r>
    <s v="0040714990041"/>
    <s v="1275391004"/>
    <s v="03SUK700"/>
    <s v="KARANGMEKAR_CIMANGGU_SUK"/>
    <s v="KARANGMEKAR_CIMANGGU_SUK"/>
    <s v="NEW BUILD"/>
    <s v="STIP 1"/>
    <s v="ISAT"/>
    <x v="0"/>
    <m/>
    <s v="048049/TBG-TB/ISAT/MKT/10/2021"/>
    <d v="2021-10-29T00:00:00"/>
    <s v="-7.244779"/>
    <s v="106.650542"/>
    <s v="Kp Batununggul RT 03/RW 02, Desa Karangmekar, Kecamatan Cimanggu, Kab. Sukabumi, Jawa Barat"/>
    <s v="JABODETABEK (OUTER)"/>
    <x v="15"/>
    <s v="JAWA BARAT"/>
    <s v="62"/>
    <s v="PT. DATATEL"/>
    <x v="5"/>
    <s v="B"/>
    <n v="-7.2454599999999996"/>
    <n v="106.65175000000001"/>
    <n v="62"/>
    <m/>
    <m/>
    <m/>
    <m/>
    <m/>
    <m/>
    <m/>
    <x v="19"/>
    <m/>
    <x v="26"/>
    <n v="32"/>
    <s v="DONE"/>
    <x v="2"/>
    <m/>
    <x v="6"/>
    <m/>
    <m/>
    <m/>
    <m/>
  </r>
  <r>
    <s v="0040714970041"/>
    <s v="1275371004"/>
    <s v="03SUK692"/>
    <s v="TEGALBULEUD_TEGALBULEUD_SUK"/>
    <s v="TEGALBULEUD_TEGALBULEUD_SUK"/>
    <s v="NEW BUILD"/>
    <s v="STIP 1"/>
    <s v="ISAT"/>
    <x v="0"/>
    <m/>
    <s v="048047/TBG-TB/ISAT/MKT/10/2021"/>
    <d v="2021-10-29T00:00:00"/>
    <s v="-7.41698"/>
    <s v="106.783271"/>
    <s v=""/>
    <s v="JABODETABEK (OUTER)"/>
    <x v="15"/>
    <s v="JAWA BARAT"/>
    <s v="52"/>
    <s v="PT. ORLIE INDONESIA"/>
    <x v="5"/>
    <s v="A"/>
    <n v="-7.4170100000000003"/>
    <n v="106.78173"/>
    <n v="52"/>
    <m/>
    <m/>
    <m/>
    <m/>
    <m/>
    <m/>
    <m/>
    <x v="19"/>
    <m/>
    <x v="26"/>
    <n v="32"/>
    <s v="DONE"/>
    <x v="2"/>
    <m/>
    <x v="6"/>
    <m/>
    <m/>
    <m/>
    <m/>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00000000-0007-0000-0000-000003000000}" name="PivotTable5"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G32:H35" firstHeaderRow="1" firstDataRow="1" firstDataCol="1" rowPageCount="1" colPageCount="1"/>
  <pivotFields count="44">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Page" showAll="0">
      <items count="65">
        <item x="7"/>
        <item x="1"/>
        <item x="2"/>
        <item x="21"/>
        <item x="18"/>
        <item x="3"/>
        <item x="6"/>
        <item x="9"/>
        <item x="4"/>
        <item x="8"/>
        <item x="24"/>
        <item x="10"/>
        <item x="25"/>
        <item x="29"/>
        <item x="20"/>
        <item x="5"/>
        <item x="11"/>
        <item x="30"/>
        <item x="19"/>
        <item x="31"/>
        <item x="12"/>
        <item x="14"/>
        <item x="28"/>
        <item x="27"/>
        <item x="35"/>
        <item x="16"/>
        <item x="34"/>
        <item x="36"/>
        <item x="32"/>
        <item x="23"/>
        <item x="15"/>
        <item x="13"/>
        <item x="33"/>
        <item x="17"/>
        <item x="44"/>
        <item x="22"/>
        <item x="46"/>
        <item x="38"/>
        <item x="43"/>
        <item x="39"/>
        <item x="42"/>
        <item x="57"/>
        <item x="52"/>
        <item x="0"/>
        <item x="26"/>
        <item x="37"/>
        <item x="40"/>
        <item x="41"/>
        <item x="45"/>
        <item x="47"/>
        <item x="48"/>
        <item x="49"/>
        <item x="50"/>
        <item x="51"/>
        <item x="53"/>
        <item x="54"/>
        <item x="55"/>
        <item x="56"/>
        <item x="58"/>
        <item x="59"/>
        <item x="60"/>
        <item x="61"/>
        <item x="62"/>
        <item x="63"/>
        <item t="default"/>
      </items>
    </pivotField>
    <pivotField showAll="0"/>
    <pivotField showAll="0"/>
    <pivotField axis="axisRow" showAll="0">
      <items count="7">
        <item h="1" m="1" x="4"/>
        <item h="1" m="1" x="3"/>
        <item h="1" m="1" x="5"/>
        <item h="1" x="0"/>
        <item x="1"/>
        <item x="2"/>
        <item t="default"/>
      </items>
    </pivotField>
    <pivotField showAll="0"/>
    <pivotField showAll="0"/>
    <pivotField showAll="0"/>
    <pivotField showAll="0"/>
    <pivotField showAll="0"/>
    <pivotField showAll="0"/>
  </pivotFields>
  <rowFields count="1">
    <field x="37"/>
  </rowFields>
  <rowItems count="3">
    <i>
      <x v="4"/>
    </i>
    <i>
      <x v="5"/>
    </i>
    <i t="grand">
      <x/>
    </i>
  </rowItems>
  <colItems count="1">
    <i/>
  </colItems>
  <pageFields count="1">
    <pageField fld="34" hier="-1"/>
  </pageFields>
  <dataFields count="1">
    <dataField name="Count of Sit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00000000-0007-0000-0000-000002000000}" name="PivotTable4"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1:B47" firstHeaderRow="1" firstDataRow="1" firstDataCol="1" rowPageCount="1" colPageCount="1"/>
  <pivotFields count="44">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25">
        <item x="11"/>
        <item x="5"/>
        <item x="2"/>
        <item x="9"/>
        <item x="4"/>
        <item x="3"/>
        <item x="10"/>
        <item x="13"/>
        <item x="7"/>
        <item x="12"/>
        <item x="21"/>
        <item x="0"/>
        <item x="18"/>
        <item x="19"/>
        <item x="16"/>
        <item x="8"/>
        <item x="17"/>
        <item x="22"/>
        <item x="23"/>
        <item x="14"/>
        <item x="15"/>
        <item x="1"/>
        <item x="6"/>
        <item x="20"/>
        <item t="default"/>
      </items>
    </pivotField>
    <pivotField showAll="0"/>
    <pivotField showAll="0"/>
    <pivotField showAll="0"/>
    <pivotField axis="axisRow" showAll="0">
      <items count="10">
        <item x="1"/>
        <item x="3"/>
        <item x="4"/>
        <item x="2"/>
        <item m="1" x="8"/>
        <item x="0"/>
        <item x="5"/>
        <item x="6"/>
        <item x="7"/>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 showAll="0"/>
    <pivotField showAll="0"/>
    <pivotField showAll="0"/>
    <pivotField showAll="0" defaultSubtotal="0"/>
    <pivotField axis="axisPage" multipleItemSelectionAllowed="1" showAll="0">
      <items count="8">
        <item h="1" x="6"/>
        <item h="1" x="0"/>
        <item x="3"/>
        <item h="1" x="1"/>
        <item x="4"/>
        <item h="1" x="2"/>
        <item h="1" x="5"/>
        <item t="default"/>
      </items>
    </pivotField>
    <pivotField showAll="0"/>
    <pivotField showAll="0"/>
    <pivotField showAll="0"/>
    <pivotField showAll="0" defaultSubtotal="0"/>
  </pivotFields>
  <rowFields count="2">
    <field x="20"/>
    <field x="16"/>
  </rowFields>
  <rowItems count="16">
    <i>
      <x v="5"/>
    </i>
    <i r="1">
      <x v="4"/>
    </i>
    <i r="1">
      <x v="5"/>
    </i>
    <i r="1">
      <x v="20"/>
    </i>
    <i>
      <x v="6"/>
    </i>
    <i r="1">
      <x/>
    </i>
    <i r="1">
      <x v="1"/>
    </i>
    <i r="1">
      <x v="5"/>
    </i>
    <i r="1">
      <x v="8"/>
    </i>
    <i r="1">
      <x v="9"/>
    </i>
    <i>
      <x v="7"/>
    </i>
    <i r="1">
      <x v="2"/>
    </i>
    <i r="1">
      <x v="6"/>
    </i>
    <i r="1">
      <x v="15"/>
    </i>
    <i r="1">
      <x v="21"/>
    </i>
    <i t="grand">
      <x/>
    </i>
  </rowItems>
  <colItems count="1">
    <i/>
  </colItems>
  <pageFields count="1">
    <pageField fld="39" hier="-1"/>
  </pageFields>
  <dataFields count="1">
    <dataField name="Count of Site ID" fld="1"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0000000-0007-0000-0000-000000000000}" name="PivotTable1"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13:B16" firstHeaderRow="1" firstDataRow="1" firstDataCol="1" rowPageCount="2" colPageCount="1"/>
  <pivotFields count="44">
    <pivotField dataField="1" showAll="0"/>
    <pivotField showAll="0"/>
    <pivotField showAll="0"/>
    <pivotField showAll="0"/>
    <pivotField showAll="0"/>
    <pivotField showAll="0"/>
    <pivotField showAll="0"/>
    <pivotField showAll="0"/>
    <pivotField axis="axisPage" showAll="0">
      <items count="4">
        <item x="1"/>
        <item x="0"/>
        <item x="2"/>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sortType="ascending"/>
    <pivotField showAll="0"/>
    <pivotField showAll="0"/>
    <pivotField numFmtId="1" showAll="0"/>
    <pivotField showAll="0"/>
    <pivotField axis="axisRow" showAll="0" defaultSubtotal="0">
      <items count="6">
        <item m="1" x="4"/>
        <item m="1" x="3"/>
        <item m="1" x="5"/>
        <item x="0"/>
        <item x="1"/>
        <item x="2"/>
      </items>
    </pivotField>
    <pivotField showAll="0" defaultSubtotal="0"/>
    <pivotField axis="axisPage" multipleItemSelectionAllowed="1" showAll="0">
      <items count="8">
        <item h="1" x="6"/>
        <item h="1" x="0"/>
        <item x="3"/>
        <item h="1" x="1"/>
        <item x="4"/>
        <item h="1" x="2"/>
        <item h="1" x="5"/>
        <item t="default"/>
      </items>
    </pivotField>
    <pivotField showAll="0"/>
    <pivotField showAll="0"/>
    <pivotField showAll="0"/>
    <pivotField showAll="0" defaultSubtotal="0"/>
  </pivotFields>
  <rowFields count="1">
    <field x="37"/>
  </rowFields>
  <rowItems count="3">
    <i>
      <x v="3"/>
    </i>
    <i>
      <x v="5"/>
    </i>
    <i t="grand">
      <x/>
    </i>
  </rowItems>
  <colItems count="1">
    <i/>
  </colItems>
  <pageFields count="2">
    <pageField fld="39" hier="-1"/>
    <pageField fld="8" item="1" hier="-1"/>
  </pageFields>
  <dataFields count="1">
    <dataField name="Count of SONum"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0000000-0007-0000-0000-000001000000}" name="PivotTable3" cacheId="1"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B5" firstHeaderRow="1" firstDataRow="2" firstDataCol="1" rowPageCount="1" colPageCount="1"/>
  <pivotFields count="44">
    <pivotField dataField="1"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axis="axisCol" showAll="0" sortType="ascending">
      <items count="35">
        <item x="16"/>
        <item x="9"/>
        <item h="1" x="1"/>
        <item h="1" x="2"/>
        <item h="1" m="1" x="31"/>
        <item h="1" x="3"/>
        <item h="1" x="0"/>
        <item h="1" x="4"/>
        <item h="1" x="5"/>
        <item h="1" x="29"/>
        <item h="1" m="1" x="32"/>
        <item h="1" x="13"/>
        <item h="1" x="14"/>
        <item h="1" x="10"/>
        <item h="1" x="11"/>
        <item h="1" x="7"/>
        <item h="1" x="12"/>
        <item h="1" x="6"/>
        <item h="1" x="8"/>
        <item h="1" x="15"/>
        <item h="1" m="1" x="33"/>
        <item h="1" x="24"/>
        <item h="1" x="20"/>
        <item h="1" x="25"/>
        <item h="1" x="30"/>
        <item h="1" x="28"/>
        <item h="1" x="23"/>
        <item h="1" x="22"/>
        <item h="1" x="26"/>
        <item h="1" x="21"/>
        <item h="1" x="27"/>
        <item h="1" x="17"/>
        <item h="1" x="18"/>
        <item h="1" x="19"/>
        <item t="default"/>
      </items>
    </pivotField>
    <pivotField showAll="0"/>
    <pivotField showAll="0"/>
    <pivotField numFmtId="1" showAll="0"/>
    <pivotField showAll="0"/>
    <pivotField axis="axisRow" showAll="0" defaultSubtotal="0">
      <items count="6">
        <item m="1" x="4"/>
        <item m="1" x="3"/>
        <item m="1" x="5"/>
        <item x="0"/>
        <item x="1"/>
        <item x="2"/>
      </items>
    </pivotField>
    <pivotField showAll="0" defaultSubtotal="0"/>
    <pivotField axis="axisPage" multipleItemSelectionAllowed="1" showAll="0">
      <items count="8">
        <item h="1" x="6"/>
        <item h="1" x="0"/>
        <item x="3"/>
        <item h="1" x="1"/>
        <item x="4"/>
        <item h="1" x="2"/>
        <item h="1" x="5"/>
        <item t="default"/>
      </items>
    </pivotField>
    <pivotField showAll="0"/>
    <pivotField showAll="0"/>
    <pivotField showAll="0"/>
    <pivotField showAll="0" defaultSubtotal="0"/>
  </pivotFields>
  <rowFields count="1">
    <field x="37"/>
  </rowFields>
  <rowItems count="1">
    <i t="grand">
      <x/>
    </i>
  </rowItems>
  <colFields count="1">
    <field x="32"/>
  </colFields>
  <colItems count="1">
    <i t="grand">
      <x/>
    </i>
  </colItems>
  <pageFields count="1">
    <pageField fld="39" hier="-1"/>
  </pageFields>
  <dataFields count="1">
    <dataField name="Count of SONum" fld="0" subtotal="count" baseField="0" baseItem="0"/>
  </dataField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00000000-0007-0000-0800-000002000000}" name="PivotTable3"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I30:K47" firstHeaderRow="0" firstDataRow="1" firstDataCol="1"/>
  <pivotFields count="102">
    <pivotField showAll="0"/>
    <pivotField showAll="0"/>
    <pivotField showAll="0"/>
    <pivotField showAll="0"/>
    <pivotField dataField="1" showAll="0"/>
    <pivotField showAll="0"/>
    <pivotField showAll="0">
      <items count="3">
        <item x="0"/>
        <item x="1"/>
        <item t="default"/>
      </items>
    </pivotField>
    <pivotField showAll="0"/>
    <pivotField showAll="0"/>
    <pivotField showAll="0"/>
    <pivotField showAll="0"/>
    <pivotField showAll="0"/>
    <pivotField numFmtId="168" showAll="0"/>
    <pivotField showAll="0"/>
    <pivotField showAll="0"/>
    <pivotField showAll="0"/>
    <pivotField showAll="0"/>
    <pivotField axis="axisRow" showAll="0">
      <items count="17">
        <item x="15"/>
        <item x="3"/>
        <item x="6"/>
        <item x="8"/>
        <item x="10"/>
        <item x="7"/>
        <item x="4"/>
        <item x="13"/>
        <item x="14"/>
        <item x="12"/>
        <item x="0"/>
        <item x="1"/>
        <item x="9"/>
        <item x="5"/>
        <item x="2"/>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8" showAll="0"/>
    <pivotField showAll="0"/>
    <pivotField showAll="0"/>
    <pivotField showAll="0"/>
    <pivotField showAll="0"/>
    <pivotField showAll="0"/>
    <pivotField showAll="0"/>
    <pivotField showAll="0"/>
    <pivotField showAll="0"/>
    <pivotField showAll="0"/>
    <pivotField showAll="0"/>
    <pivotField numFmtId="168" showAll="0"/>
    <pivotField showAll="0"/>
    <pivotField numFmtId="16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8" showAll="0"/>
    <pivotField showAll="0"/>
    <pivotField showAll="0"/>
    <pivotField showAll="0"/>
    <pivotField numFmtId="168" showAll="0"/>
    <pivotField showAll="0"/>
    <pivotField showAll="0"/>
    <pivotField showAll="0"/>
    <pivotField showAll="0"/>
    <pivotField showAll="0"/>
    <pivotField dataField="1" showAll="0"/>
    <pivotField showAll="0"/>
    <pivotField showAll="0" avgSubtotal="1">
      <items count="18">
        <item x="14"/>
        <item x="16"/>
        <item x="5"/>
        <item x="9"/>
        <item x="6"/>
        <item x="11"/>
        <item x="15"/>
        <item x="4"/>
        <item x="2"/>
        <item x="13"/>
        <item x="0"/>
        <item x="10"/>
        <item x="1"/>
        <item x="8"/>
        <item x="3"/>
        <item x="12"/>
        <item x="7"/>
        <item t="avg"/>
      </items>
    </pivotField>
  </pivotFields>
  <rowFields count="1">
    <field x="17"/>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ite" fld="4" subtotal="count" baseField="17" baseItem="0"/>
    <dataField name="Average of BIAYA IW" fld="99" subtotal="average" baseField="17" baseItem="0" numFmtId="164"/>
  </dataFields>
  <formats count="4">
    <format dxfId="78">
      <pivotArea field="6" dataOnly="0" labelOnly="1" outline="0">
        <references count="1">
          <reference field="4294967294" count="1" selected="0">
            <x v="0"/>
          </reference>
        </references>
      </pivotArea>
    </format>
    <format dxfId="77">
      <pivotArea field="6" dataOnly="0" labelOnly="1" outline="0">
        <references count="1">
          <reference field="4294967294" count="1" selected="0">
            <x v="0"/>
          </reference>
        </references>
      </pivotArea>
    </format>
    <format dxfId="76">
      <pivotArea field="6" dataOnly="0" labelOnly="1" outline="0">
        <references count="1">
          <reference field="4294967294" count="1" selected="0">
            <x v="0"/>
          </reference>
        </references>
      </pivotArea>
    </format>
    <format dxfId="75">
      <pivotArea outline="0" collapsedLevelsAreSubtotals="1" fieldPosition="0">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00000000-0007-0000-0800-000000000000}" name="PivotTable1" cacheId="0" applyNumberFormats="0" applyBorderFormats="0" applyFontFormats="0" applyPatternFormats="0" applyAlignmentFormats="0" applyWidthHeightFormats="1" dataCaption="Values" updatedVersion="6" minRefreshableVersion="3" useAutoFormatting="1" itemPrintTitles="1" createdVersion="6" indent="0" compact="0" compactData="0" multipleFieldFilters="0">
  <location ref="A3:F25" firstHeaderRow="0" firstDataRow="1" firstDataCol="2"/>
  <pivotFields count="102">
    <pivotField compact="0" outline="0" showAll="0"/>
    <pivotField dataField="1" compact="0" outline="0" showAll="0"/>
    <pivotField compact="0" outline="0" showAll="0"/>
    <pivotField compact="0" outline="0" showAll="0"/>
    <pivotField compact="0" outline="0" showAll="0"/>
    <pivotField compact="0" outline="0" showAll="0"/>
    <pivotField name="Site Type" axis="axisRow" compact="0" outline="0" showAll="0">
      <items count="3">
        <item x="0"/>
        <item x="1"/>
        <item t="default"/>
      </items>
    </pivotField>
    <pivotField compact="0" outline="0" showAll="0"/>
    <pivotField compact="0" outline="0" showAll="0"/>
    <pivotField compact="0" outline="0" showAll="0"/>
    <pivotField compact="0" outline="0" showAll="0"/>
    <pivotField compact="0" outline="0" showAll="0"/>
    <pivotField compact="0" numFmtId="168"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name="Supplier Sitac" axis="axisRow" compact="0" outline="0" showAll="0">
      <items count="16">
        <item m="1" x="14"/>
        <item x="3"/>
        <item x="10"/>
        <item x="0"/>
        <item x="8"/>
        <item x="4"/>
        <item x="1"/>
        <item x="12"/>
        <item x="9"/>
        <item x="11"/>
        <item x="13"/>
        <item x="5"/>
        <item x="7"/>
        <item x="6"/>
        <item x="2"/>
        <item t="default"/>
      </items>
    </pivotField>
    <pivotField compact="0" outline="0" showAll="0"/>
    <pivotField compact="0" outline="0" showAll="0"/>
    <pivotField compact="0" outline="0" showAll="0"/>
    <pivotField compact="0" numFmtId="168"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8" outline="0" showAll="0"/>
    <pivotField compact="0" outline="0" showAll="0"/>
    <pivotField compact="0" numFmtId="168"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8"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outline="0" showAll="0"/>
    <pivotField compact="0" numFmtId="168" outline="0" showAll="0"/>
    <pivotField compact="0" outline="0" showAll="0"/>
    <pivotField compact="0" outline="0" showAll="0"/>
    <pivotField compact="0" outline="0" showAll="0"/>
    <pivotField compact="0" numFmtId="168" outline="0" showAll="0"/>
    <pivotField compact="0" outline="0" showAll="0"/>
    <pivotField compact="0" outline="0" showAll="0"/>
    <pivotField compact="0" outline="0" showAll="0"/>
    <pivotField compact="0" outline="0" showAll="0" defaultSubtotal="0"/>
    <pivotField compact="0" outline="0" showAll="0" defaultSubtotal="0"/>
    <pivotField dataField="1" compact="0" outline="0" showAll="0"/>
    <pivotField dataField="1" compact="0" outline="0" showAll="0"/>
    <pivotField dataField="1" compact="0" outline="0" showAll="0"/>
  </pivotFields>
  <rowFields count="2">
    <field x="6"/>
    <field x="32"/>
  </rowFields>
  <rowItems count="22">
    <i>
      <x/>
      <x v="1"/>
    </i>
    <i r="1">
      <x v="3"/>
    </i>
    <i r="1">
      <x v="4"/>
    </i>
    <i r="1">
      <x v="5"/>
    </i>
    <i r="1">
      <x v="6"/>
    </i>
    <i r="1">
      <x v="7"/>
    </i>
    <i r="1">
      <x v="8"/>
    </i>
    <i r="1">
      <x v="9"/>
    </i>
    <i r="1">
      <x v="10"/>
    </i>
    <i r="1">
      <x v="12"/>
    </i>
    <i r="1">
      <x v="13"/>
    </i>
    <i r="1">
      <x v="14"/>
    </i>
    <i t="default">
      <x/>
    </i>
    <i>
      <x v="1"/>
      <x v="2"/>
    </i>
    <i r="1">
      <x v="3"/>
    </i>
    <i r="1">
      <x v="6"/>
    </i>
    <i r="1">
      <x v="10"/>
    </i>
    <i r="1">
      <x v="11"/>
    </i>
    <i r="1">
      <x v="12"/>
    </i>
    <i r="1">
      <x v="13"/>
    </i>
    <i t="default">
      <x v="1"/>
    </i>
    <i t="grand">
      <x/>
    </i>
  </rowItems>
  <colFields count="1">
    <field x="-2"/>
  </colFields>
  <colItems count="4">
    <i>
      <x/>
    </i>
    <i i="1">
      <x v="1"/>
    </i>
    <i i="2">
      <x v="2"/>
    </i>
    <i i="3">
      <x v="3"/>
    </i>
  </colItems>
  <dataFields count="4">
    <dataField name="Total Site" fld="1" subtotal="count" baseField="0" baseItem="0"/>
    <dataField name="Avg of BAN" fld="101" subtotal="average" baseField="32" baseItem="1" numFmtId="179"/>
    <dataField name="Avg of IW Cost" fld="99" subtotal="average" baseField="32" baseItem="1" numFmtId="179"/>
    <dataField name="Avg of Operasional Cost" fld="100" subtotal="average" baseField="32" baseItem="1" numFmtId="179"/>
  </dataFields>
  <formats count="46">
    <format dxfId="124">
      <pivotArea dataOnly="0" outline="0" fieldPosition="0">
        <references count="1">
          <reference field="4294967294" count="4">
            <x v="0"/>
            <x v="1"/>
            <x v="2"/>
            <x v="3"/>
          </reference>
        </references>
      </pivotArea>
    </format>
    <format dxfId="123">
      <pivotArea outline="0" collapsedLevelsAreSubtotals="1" fieldPosition="0">
        <references count="1">
          <reference field="4294967294" count="3" selected="0">
            <x v="1"/>
            <x v="2"/>
            <x v="3"/>
          </reference>
        </references>
      </pivotArea>
    </format>
    <format dxfId="122">
      <pivotArea field="6" type="button" dataOnly="0" labelOnly="1" outline="0" axis="axisRow" fieldPosition="0"/>
    </format>
    <format dxfId="121">
      <pivotArea field="32" type="button" dataOnly="0" labelOnly="1" outline="0" axis="axisRow" fieldPosition="1"/>
    </format>
    <format dxfId="120">
      <pivotArea dataOnly="0" labelOnly="1" outline="0" fieldPosition="0">
        <references count="1">
          <reference field="4294967294" count="1">
            <x v="0"/>
          </reference>
        </references>
      </pivotArea>
    </format>
    <format dxfId="119">
      <pivotArea field="6" grandRow="1" outline="0" collapsedLevelsAreSubtotals="1" axis="axisRow" fieldPosition="0">
        <references count="1">
          <reference field="4294967294" count="1" selected="0">
            <x v="0"/>
          </reference>
        </references>
      </pivotArea>
    </format>
    <format dxfId="118">
      <pivotArea dataOnly="0" labelOnly="1" grandRow="1" outline="0" fieldPosition="0"/>
    </format>
    <format dxfId="117">
      <pivotArea field="6" type="button" dataOnly="0" labelOnly="1" outline="0" axis="axisRow" fieldPosition="0"/>
    </format>
    <format dxfId="116">
      <pivotArea field="32" type="button" dataOnly="0" labelOnly="1" outline="0" axis="axisRow" fieldPosition="1"/>
    </format>
    <format dxfId="115">
      <pivotArea dataOnly="0" labelOnly="1" outline="0" fieldPosition="0">
        <references count="1">
          <reference field="4294967294" count="1">
            <x v="0"/>
          </reference>
        </references>
      </pivotArea>
    </format>
    <format dxfId="114">
      <pivotArea field="6" grandRow="1" outline="0" collapsedLevelsAreSubtotals="1" axis="axisRow" fieldPosition="0">
        <references count="1">
          <reference field="4294967294" count="1" selected="0">
            <x v="0"/>
          </reference>
        </references>
      </pivotArea>
    </format>
    <format dxfId="113">
      <pivotArea dataOnly="0" labelOnly="1" grandRow="1" outline="0" fieldPosition="0"/>
    </format>
    <format dxfId="112">
      <pivotArea dataOnly="0" labelOnly="1" outline="0" fieldPosition="0">
        <references count="1">
          <reference field="4294967294" count="1">
            <x v="1"/>
          </reference>
        </references>
      </pivotArea>
    </format>
    <format dxfId="111">
      <pivotArea field="6" grandRow="1" outline="0" collapsedLevelsAreSubtotals="1" axis="axisRow" fieldPosition="0">
        <references count="1">
          <reference field="4294967294" count="1" selected="0">
            <x v="1"/>
          </reference>
        </references>
      </pivotArea>
    </format>
    <format dxfId="110">
      <pivotArea dataOnly="0" labelOnly="1" outline="0" fieldPosition="0">
        <references count="1">
          <reference field="4294967294" count="2">
            <x v="2"/>
            <x v="3"/>
          </reference>
        </references>
      </pivotArea>
    </format>
    <format dxfId="109">
      <pivotArea field="6" grandRow="1" outline="0" collapsedLevelsAreSubtotals="1" axis="axisRow" fieldPosition="0">
        <references count="1">
          <reference field="4294967294" count="2" selected="0">
            <x v="2"/>
            <x v="3"/>
          </reference>
        </references>
      </pivotArea>
    </format>
    <format dxfId="108">
      <pivotArea outline="0" collapsedLevelsAreSubtotals="1" fieldPosition="0">
        <references count="2">
          <reference field="4294967294" count="1" selected="0">
            <x v="0"/>
          </reference>
          <reference field="6" count="1" selected="0" defaultSubtotal="1">
            <x v="0"/>
          </reference>
        </references>
      </pivotArea>
    </format>
    <format dxfId="107">
      <pivotArea dataOnly="0" labelOnly="1" outline="0" fieldPosition="0">
        <references count="1">
          <reference field="6" count="1" defaultSubtotal="1">
            <x v="0"/>
          </reference>
        </references>
      </pivotArea>
    </format>
    <format dxfId="106">
      <pivotArea outline="0" collapsedLevelsAreSubtotals="1" fieldPosition="0">
        <references count="2">
          <reference field="4294967294" count="1" selected="0">
            <x v="0"/>
          </reference>
          <reference field="6" count="1" selected="0" defaultSubtotal="1">
            <x v="1"/>
          </reference>
        </references>
      </pivotArea>
    </format>
    <format dxfId="105">
      <pivotArea dataOnly="0" labelOnly="1" outline="0" fieldPosition="0">
        <references count="1">
          <reference field="6" count="1" defaultSubtotal="1">
            <x v="1"/>
          </reference>
        </references>
      </pivotArea>
    </format>
    <format dxfId="104">
      <pivotArea outline="0" collapsedLevelsAreSubtotals="1" fieldPosition="0">
        <references count="2">
          <reference field="4294967294" count="1" selected="0">
            <x v="1"/>
          </reference>
          <reference field="6" count="1" selected="0" defaultSubtotal="1">
            <x v="0"/>
          </reference>
        </references>
      </pivotArea>
    </format>
    <format dxfId="103">
      <pivotArea outline="0" collapsedLevelsAreSubtotals="1" fieldPosition="0">
        <references count="2">
          <reference field="4294967294" count="1" selected="0">
            <x v="1"/>
          </reference>
          <reference field="6" count="1" selected="0" defaultSubtotal="1">
            <x v="1"/>
          </reference>
        </references>
      </pivotArea>
    </format>
    <format dxfId="102">
      <pivotArea outline="0" collapsedLevelsAreSubtotals="1" fieldPosition="0">
        <references count="2">
          <reference field="4294967294" count="2" selected="0">
            <x v="2"/>
            <x v="3"/>
          </reference>
          <reference field="6" count="1" selected="0" defaultSubtotal="1">
            <x v="0"/>
          </reference>
        </references>
      </pivotArea>
    </format>
    <format dxfId="101">
      <pivotArea outline="0" collapsedLevelsAreSubtotals="1" fieldPosition="0">
        <references count="2">
          <reference field="4294967294" count="2" selected="0">
            <x v="2"/>
            <x v="3"/>
          </reference>
          <reference field="6" count="1" selected="0" defaultSubtotal="1">
            <x v="1"/>
          </reference>
        </references>
      </pivotArea>
    </format>
    <format dxfId="100">
      <pivotArea outline="0" collapsedLevelsAreSubtotals="1" fieldPosition="0">
        <references count="3">
          <reference field="4294967294" count="1" selected="0">
            <x v="1"/>
          </reference>
          <reference field="6" count="1" selected="0">
            <x v="0"/>
          </reference>
          <reference field="32" count="1" selected="0">
            <x v="1"/>
          </reference>
        </references>
      </pivotArea>
    </format>
    <format dxfId="99">
      <pivotArea outline="0" collapsedLevelsAreSubtotals="1" fieldPosition="0">
        <references count="3">
          <reference field="4294967294" count="1" selected="0">
            <x v="1"/>
          </reference>
          <reference field="6" count="1" selected="0">
            <x v="0"/>
          </reference>
          <reference field="32" count="1" selected="0">
            <x v="6"/>
          </reference>
        </references>
      </pivotArea>
    </format>
    <format dxfId="98">
      <pivotArea outline="0" collapsedLevelsAreSubtotals="1" fieldPosition="0">
        <references count="3">
          <reference field="4294967294" count="1" selected="0">
            <x v="1"/>
          </reference>
          <reference field="6" count="1" selected="0">
            <x v="0"/>
          </reference>
          <reference field="32" count="1" selected="0">
            <x v="12"/>
          </reference>
        </references>
      </pivotArea>
    </format>
    <format dxfId="97">
      <pivotArea outline="0" collapsedLevelsAreSubtotals="1" fieldPosition="0">
        <references count="3">
          <reference field="4294967294" count="1" selected="0">
            <x v="1"/>
          </reference>
          <reference field="6" count="1" selected="0">
            <x v="1"/>
          </reference>
          <reference field="32" count="1" selected="0">
            <x v="11"/>
          </reference>
        </references>
      </pivotArea>
    </format>
    <format dxfId="96">
      <pivotArea outline="0" collapsedLevelsAreSubtotals="1" fieldPosition="0">
        <references count="3">
          <reference field="4294967294" count="1" selected="0">
            <x v="1"/>
          </reference>
          <reference field="6" count="1" selected="0">
            <x v="1"/>
          </reference>
          <reference field="32" count="1" selected="0">
            <x v="6"/>
          </reference>
        </references>
      </pivotArea>
    </format>
    <format dxfId="95">
      <pivotArea outline="0" collapsedLevelsAreSubtotals="1" fieldPosition="0">
        <references count="3">
          <reference field="4294967294" count="1" selected="0">
            <x v="2"/>
          </reference>
          <reference field="6" count="1" selected="0">
            <x v="0"/>
          </reference>
          <reference field="32" count="1" selected="0">
            <x v="5"/>
          </reference>
        </references>
      </pivotArea>
    </format>
    <format dxfId="94">
      <pivotArea outline="0" collapsedLevelsAreSubtotals="1" fieldPosition="0">
        <references count="3">
          <reference field="4294967294" count="1" selected="0">
            <x v="2"/>
          </reference>
          <reference field="6" count="1" selected="0">
            <x v="0"/>
          </reference>
          <reference field="32" count="1" selected="0">
            <x v="9"/>
          </reference>
        </references>
      </pivotArea>
    </format>
    <format dxfId="93">
      <pivotArea outline="0" collapsedLevelsAreSubtotals="1" fieldPosition="0">
        <references count="3">
          <reference field="4294967294" count="1" selected="0">
            <x v="2"/>
          </reference>
          <reference field="6" count="1" selected="0">
            <x v="0"/>
          </reference>
          <reference field="32" count="1" selected="0">
            <x v="10"/>
          </reference>
        </references>
      </pivotArea>
    </format>
    <format dxfId="92">
      <pivotArea outline="0" collapsedLevelsAreSubtotals="1" fieldPosition="0">
        <references count="3">
          <reference field="4294967294" count="1" selected="0">
            <x v="2"/>
          </reference>
          <reference field="6" count="1" selected="0">
            <x v="0"/>
          </reference>
          <reference field="32" count="1" selected="0">
            <x v="12"/>
          </reference>
        </references>
      </pivotArea>
    </format>
    <format dxfId="91">
      <pivotArea outline="0" collapsedLevelsAreSubtotals="1" fieldPosition="0">
        <references count="3">
          <reference field="4294967294" count="1" selected="0">
            <x v="2"/>
          </reference>
          <reference field="6" count="1" selected="0">
            <x v="0"/>
          </reference>
          <reference field="32" count="1" selected="0">
            <x v="13"/>
          </reference>
        </references>
      </pivotArea>
    </format>
    <format dxfId="90">
      <pivotArea outline="0" collapsedLevelsAreSubtotals="1" fieldPosition="0">
        <references count="3">
          <reference field="4294967294" count="1" selected="0">
            <x v="2"/>
          </reference>
          <reference field="6" count="1" selected="0">
            <x v="0"/>
          </reference>
          <reference field="32" count="1" selected="0">
            <x v="14"/>
          </reference>
        </references>
      </pivotArea>
    </format>
    <format dxfId="89">
      <pivotArea outline="0" collapsedLevelsAreSubtotals="1" fieldPosition="0">
        <references count="3">
          <reference field="4294967294" count="1" selected="0">
            <x v="2"/>
          </reference>
          <reference field="6" count="1" selected="0">
            <x v="1"/>
          </reference>
          <reference field="32" count="1" selected="0">
            <x v="13"/>
          </reference>
        </references>
      </pivotArea>
    </format>
    <format dxfId="88">
      <pivotArea outline="0" collapsedLevelsAreSubtotals="1" fieldPosition="0">
        <references count="3">
          <reference field="4294967294" count="1" selected="0">
            <x v="2"/>
          </reference>
          <reference field="6" count="1" selected="0">
            <x v="1"/>
          </reference>
          <reference field="32" count="1" selected="0">
            <x v="12"/>
          </reference>
        </references>
      </pivotArea>
    </format>
    <format dxfId="87">
      <pivotArea outline="0" collapsedLevelsAreSubtotals="1" fieldPosition="0">
        <references count="3">
          <reference field="4294967294" count="1" selected="0">
            <x v="2"/>
          </reference>
          <reference field="6" count="1" selected="0">
            <x v="1"/>
          </reference>
          <reference field="32" count="1" selected="0">
            <x v="2"/>
          </reference>
        </references>
      </pivotArea>
    </format>
    <format dxfId="86">
      <pivotArea outline="0" collapsedLevelsAreSubtotals="1" fieldPosition="0">
        <references count="3">
          <reference field="4294967294" count="1" selected="0">
            <x v="3"/>
          </reference>
          <reference field="6" count="1" selected="0">
            <x v="0"/>
          </reference>
          <reference field="32" count="1" selected="0">
            <x v="3"/>
          </reference>
        </references>
      </pivotArea>
    </format>
    <format dxfId="85">
      <pivotArea outline="0" collapsedLevelsAreSubtotals="1" fieldPosition="0">
        <references count="3">
          <reference field="4294967294" count="1" selected="0">
            <x v="3"/>
          </reference>
          <reference field="6" count="1" selected="0">
            <x v="0"/>
          </reference>
          <reference field="32" count="1" selected="0">
            <x v="4"/>
          </reference>
        </references>
      </pivotArea>
    </format>
    <format dxfId="84">
      <pivotArea outline="0" collapsedLevelsAreSubtotals="1" fieldPosition="0">
        <references count="3">
          <reference field="4294967294" count="1" selected="0">
            <x v="3"/>
          </reference>
          <reference field="6" count="1" selected="0">
            <x v="0"/>
          </reference>
          <reference field="32" count="1" selected="0">
            <x v="5"/>
          </reference>
        </references>
      </pivotArea>
    </format>
    <format dxfId="83">
      <pivotArea outline="0" collapsedLevelsAreSubtotals="1" fieldPosition="0">
        <references count="3">
          <reference field="4294967294" count="1" selected="0">
            <x v="3"/>
          </reference>
          <reference field="6" count="1" selected="0">
            <x v="0"/>
          </reference>
          <reference field="32" count="1" selected="0">
            <x v="6"/>
          </reference>
        </references>
      </pivotArea>
    </format>
    <format dxfId="82">
      <pivotArea outline="0" collapsedLevelsAreSubtotals="1" fieldPosition="0">
        <references count="3">
          <reference field="4294967294" count="1" selected="0">
            <x v="3"/>
          </reference>
          <reference field="6" count="1" selected="0">
            <x v="0"/>
          </reference>
          <reference field="32" count="1" selected="0">
            <x v="7"/>
          </reference>
        </references>
      </pivotArea>
    </format>
    <format dxfId="81">
      <pivotArea outline="0" collapsedLevelsAreSubtotals="1" fieldPosition="0">
        <references count="3">
          <reference field="4294967294" count="1" selected="0">
            <x v="3"/>
          </reference>
          <reference field="6" count="1" selected="0">
            <x v="0"/>
          </reference>
          <reference field="32" count="1" selected="0">
            <x v="8"/>
          </reference>
        </references>
      </pivotArea>
    </format>
    <format dxfId="80">
      <pivotArea outline="0" collapsedLevelsAreSubtotals="1" fieldPosition="0">
        <references count="3">
          <reference field="4294967294" count="1" selected="0">
            <x v="3"/>
          </reference>
          <reference field="6" count="1" selected="0">
            <x v="1"/>
          </reference>
          <reference field="32" count="1" selected="0">
            <x v="11"/>
          </reference>
        </references>
      </pivotArea>
    </format>
    <format dxfId="79">
      <pivotArea outline="0" collapsedLevelsAreSubtotals="1" fieldPosition="0">
        <references count="3">
          <reference field="4294967294" count="1" selected="0">
            <x v="3"/>
          </reference>
          <reference field="6" count="1" selected="0">
            <x v="1"/>
          </reference>
          <reference field="32" count="1" selected="0">
            <x v="3"/>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00000000-0007-0000-0800-000003000000}" name="PivotTable4"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E30:G47" firstHeaderRow="0" firstDataRow="1" firstDataCol="1"/>
  <pivotFields count="102">
    <pivotField showAll="0"/>
    <pivotField showAll="0"/>
    <pivotField showAll="0"/>
    <pivotField showAll="0"/>
    <pivotField dataField="1" showAll="0"/>
    <pivotField showAll="0"/>
    <pivotField showAll="0">
      <items count="3">
        <item x="0"/>
        <item x="1"/>
        <item t="default"/>
      </items>
    </pivotField>
    <pivotField showAll="0"/>
    <pivotField showAll="0"/>
    <pivotField showAll="0"/>
    <pivotField showAll="0"/>
    <pivotField showAll="0"/>
    <pivotField numFmtId="168" showAll="0"/>
    <pivotField showAll="0"/>
    <pivotField showAll="0"/>
    <pivotField showAll="0"/>
    <pivotField showAll="0"/>
    <pivotField axis="axisRow" showAll="0">
      <items count="17">
        <item x="15"/>
        <item x="3"/>
        <item x="6"/>
        <item x="8"/>
        <item x="10"/>
        <item x="7"/>
        <item x="4"/>
        <item x="13"/>
        <item x="14"/>
        <item x="12"/>
        <item x="0"/>
        <item x="1"/>
        <item x="9"/>
        <item x="5"/>
        <item x="2"/>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8" showAll="0"/>
    <pivotField showAll="0"/>
    <pivotField showAll="0"/>
    <pivotField showAll="0"/>
    <pivotField showAll="0"/>
    <pivotField showAll="0"/>
    <pivotField showAll="0"/>
    <pivotField showAll="0"/>
    <pivotField showAll="0"/>
    <pivotField showAll="0"/>
    <pivotField showAll="0"/>
    <pivotField numFmtId="168" showAll="0"/>
    <pivotField showAll="0"/>
    <pivotField numFmtId="16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8" showAll="0"/>
    <pivotField showAll="0"/>
    <pivotField showAll="0"/>
    <pivotField showAll="0"/>
    <pivotField numFmtId="168" showAll="0"/>
    <pivotField showAll="0"/>
    <pivotField showAll="0"/>
    <pivotField showAll="0"/>
    <pivotField showAll="0"/>
    <pivotField showAll="0"/>
    <pivotField showAll="0"/>
    <pivotField dataField="1" showAll="0"/>
    <pivotField showAll="0" avgSubtotal="1">
      <items count="18">
        <item x="14"/>
        <item x="16"/>
        <item x="5"/>
        <item x="9"/>
        <item x="6"/>
        <item x="11"/>
        <item x="15"/>
        <item x="4"/>
        <item x="2"/>
        <item x="13"/>
        <item x="0"/>
        <item x="10"/>
        <item x="1"/>
        <item x="8"/>
        <item x="3"/>
        <item x="12"/>
        <item x="7"/>
        <item t="avg"/>
      </items>
    </pivotField>
  </pivotFields>
  <rowFields count="1">
    <field x="17"/>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Site" fld="4" subtotal="count" baseField="17" baseItem="0"/>
    <dataField name="Average of Additional Operational Cost Site" fld="100" subtotal="average" baseField="17" baseItem="0"/>
  </dataFields>
  <formats count="7">
    <format dxfId="131">
      <pivotArea field="6" dataOnly="0" labelOnly="1" outline="0">
        <references count="1">
          <reference field="4294967294" count="1" selected="0">
            <x v="0"/>
          </reference>
        </references>
      </pivotArea>
    </format>
    <format dxfId="130">
      <pivotArea field="6" dataOnly="0" labelOnly="1" outline="0">
        <references count="1">
          <reference field="4294967294" count="1" selected="0">
            <x v="1"/>
          </reference>
        </references>
      </pivotArea>
    </format>
    <format dxfId="129">
      <pivotArea field="6" dataOnly="0" labelOnly="1" outline="0">
        <references count="1">
          <reference field="4294967294" count="1" selected="0">
            <x v="0"/>
          </reference>
        </references>
      </pivotArea>
    </format>
    <format dxfId="128">
      <pivotArea field="6" dataOnly="0" labelOnly="1" outline="0">
        <references count="1">
          <reference field="4294967294" count="1" selected="0">
            <x v="1"/>
          </reference>
        </references>
      </pivotArea>
    </format>
    <format dxfId="127">
      <pivotArea field="6" dataOnly="0" labelOnly="1" outline="0">
        <references count="1">
          <reference field="4294967294" count="1" selected="0">
            <x v="0"/>
          </reference>
        </references>
      </pivotArea>
    </format>
    <format dxfId="126">
      <pivotArea field="6" dataOnly="0" labelOnly="1" outline="0">
        <references count="1">
          <reference field="4294967294" count="1" selected="0">
            <x v="1"/>
          </reference>
        </references>
      </pivotArea>
    </format>
    <format dxfId="125">
      <pivotArea field="6" outline="0" collapsedLevelsAreSubtotals="1">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0000000-0007-0000-0800-000001000000}" name="PivotTable2" cacheId="0" applyNumberFormats="0" applyBorderFormats="0" applyFontFormats="0" applyPatternFormats="0" applyAlignmentFormats="0" applyWidthHeightFormats="1" dataCaption="Values" updatedVersion="5" minRefreshableVersion="3" useAutoFormatting="1" itemPrintTitles="1" createdVersion="5" indent="0" outline="1" outlineData="1" multipleFieldFilters="0">
  <location ref="A30:C47" firstHeaderRow="0" firstDataRow="1" firstDataCol="1"/>
  <pivotFields count="102">
    <pivotField showAll="0"/>
    <pivotField showAll="0"/>
    <pivotField dataField="1" showAll="0">
      <items count="135">
        <item x="132"/>
        <item x="133"/>
        <item x="102"/>
        <item x="19"/>
        <item x="20"/>
        <item x="21"/>
        <item x="22"/>
        <item x="23"/>
        <item x="26"/>
        <item x="27"/>
        <item x="28"/>
        <item x="29"/>
        <item x="31"/>
        <item x="32"/>
        <item x="33"/>
        <item x="34"/>
        <item x="39"/>
        <item x="52"/>
        <item x="57"/>
        <item x="58"/>
        <item x="59"/>
        <item x="63"/>
        <item x="64"/>
        <item x="66"/>
        <item x="82"/>
        <item x="85"/>
        <item x="87"/>
        <item x="88"/>
        <item x="89"/>
        <item x="90"/>
        <item x="112"/>
        <item x="118"/>
        <item x="9"/>
        <item x="10"/>
        <item x="11"/>
        <item x="12"/>
        <item x="13"/>
        <item x="92"/>
        <item x="14"/>
        <item x="15"/>
        <item x="18"/>
        <item x="121"/>
        <item x="122"/>
        <item x="123"/>
        <item x="124"/>
        <item x="125"/>
        <item x="126"/>
        <item x="127"/>
        <item x="119"/>
        <item x="120"/>
        <item x="128"/>
        <item x="129"/>
        <item x="130"/>
        <item x="131"/>
        <item x="101"/>
        <item x="40"/>
        <item x="41"/>
        <item x="42"/>
        <item x="46"/>
        <item x="54"/>
        <item x="65"/>
        <item x="67"/>
        <item x="84"/>
        <item x="103"/>
        <item x="108"/>
        <item x="109"/>
        <item x="115"/>
        <item x="116"/>
        <item x="117"/>
        <item x="0"/>
        <item x="3"/>
        <item x="4"/>
        <item x="5"/>
        <item x="6"/>
        <item x="7"/>
        <item x="93"/>
        <item x="94"/>
        <item x="95"/>
        <item x="96"/>
        <item x="97"/>
        <item x="98"/>
        <item x="99"/>
        <item x="17"/>
        <item x="100"/>
        <item x="24"/>
        <item x="25"/>
        <item x="30"/>
        <item x="35"/>
        <item x="36"/>
        <item x="37"/>
        <item x="38"/>
        <item x="43"/>
        <item x="44"/>
        <item x="45"/>
        <item x="47"/>
        <item x="48"/>
        <item x="49"/>
        <item x="50"/>
        <item x="51"/>
        <item x="53"/>
        <item x="55"/>
        <item x="56"/>
        <item x="60"/>
        <item x="61"/>
        <item x="62"/>
        <item x="68"/>
        <item x="69"/>
        <item x="70"/>
        <item x="71"/>
        <item x="72"/>
        <item x="73"/>
        <item x="74"/>
        <item x="75"/>
        <item x="76"/>
        <item x="77"/>
        <item x="78"/>
        <item x="79"/>
        <item x="80"/>
        <item x="81"/>
        <item x="83"/>
        <item x="86"/>
        <item x="104"/>
        <item x="105"/>
        <item x="106"/>
        <item x="107"/>
        <item x="110"/>
        <item x="111"/>
        <item x="113"/>
        <item x="114"/>
        <item x="1"/>
        <item x="2"/>
        <item x="8"/>
        <item x="91"/>
        <item x="16"/>
        <item t="default"/>
      </items>
    </pivotField>
    <pivotField showAll="0"/>
    <pivotField showAll="0"/>
    <pivotField showAll="0"/>
    <pivotField showAll="0">
      <items count="3">
        <item x="0"/>
        <item x="1"/>
        <item t="default"/>
      </items>
    </pivotField>
    <pivotField showAll="0"/>
    <pivotField showAll="0"/>
    <pivotField showAll="0"/>
    <pivotField showAll="0"/>
    <pivotField showAll="0"/>
    <pivotField numFmtId="168" showAll="0"/>
    <pivotField showAll="0"/>
    <pivotField showAll="0"/>
    <pivotField showAll="0"/>
    <pivotField showAll="0"/>
    <pivotField axis="axisRow" showAll="0">
      <items count="17">
        <item x="15"/>
        <item x="3"/>
        <item x="6"/>
        <item x="8"/>
        <item x="10"/>
        <item x="7"/>
        <item x="4"/>
        <item x="13"/>
        <item x="14"/>
        <item x="12"/>
        <item x="0"/>
        <item x="1"/>
        <item x="9"/>
        <item x="5"/>
        <item x="2"/>
        <item x="11"/>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8" showAll="0"/>
    <pivotField showAll="0"/>
    <pivotField showAll="0"/>
    <pivotField showAll="0"/>
    <pivotField showAll="0"/>
    <pivotField showAll="0"/>
    <pivotField showAll="0"/>
    <pivotField showAll="0"/>
    <pivotField showAll="0"/>
    <pivotField showAll="0"/>
    <pivotField showAll="0"/>
    <pivotField numFmtId="168" showAll="0"/>
    <pivotField showAll="0"/>
    <pivotField numFmtId="16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8"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numFmtId="168" showAll="0"/>
    <pivotField showAll="0"/>
    <pivotField showAll="0"/>
    <pivotField showAll="0"/>
    <pivotField numFmtId="168" showAll="0"/>
    <pivotField showAll="0"/>
    <pivotField showAll="0"/>
    <pivotField showAll="0"/>
    <pivotField showAll="0"/>
    <pivotField showAll="0"/>
    <pivotField showAll="0"/>
    <pivotField showAll="0"/>
    <pivotField dataField="1" showAll="0" avgSubtotal="1">
      <items count="18">
        <item x="14"/>
        <item x="16"/>
        <item x="5"/>
        <item x="9"/>
        <item x="6"/>
        <item x="11"/>
        <item x="15"/>
        <item x="4"/>
        <item x="2"/>
        <item x="13"/>
        <item x="0"/>
        <item x="10"/>
        <item x="1"/>
        <item x="8"/>
        <item x="3"/>
        <item x="12"/>
        <item x="7"/>
        <item t="avg"/>
      </items>
    </pivotField>
  </pivotFields>
  <rowFields count="1">
    <field x="17"/>
  </rowFields>
  <rowItems count="17">
    <i>
      <x/>
    </i>
    <i>
      <x v="1"/>
    </i>
    <i>
      <x v="2"/>
    </i>
    <i>
      <x v="3"/>
    </i>
    <i>
      <x v="4"/>
    </i>
    <i>
      <x v="5"/>
    </i>
    <i>
      <x v="6"/>
    </i>
    <i>
      <x v="7"/>
    </i>
    <i>
      <x v="8"/>
    </i>
    <i>
      <x v="9"/>
    </i>
    <i>
      <x v="10"/>
    </i>
    <i>
      <x v="11"/>
    </i>
    <i>
      <x v="12"/>
    </i>
    <i>
      <x v="13"/>
    </i>
    <i>
      <x v="14"/>
    </i>
    <i>
      <x v="15"/>
    </i>
    <i t="grand">
      <x/>
    </i>
  </rowItems>
  <colFields count="1">
    <field x="-2"/>
  </colFields>
  <colItems count="2">
    <i>
      <x/>
    </i>
    <i i="1">
      <x v="1"/>
    </i>
  </colItems>
  <dataFields count="2">
    <dataField name="Count of site_id" fld="2" subtotal="count" baseField="17" baseItem="0"/>
    <dataField name="Average of BAN" fld="101" subtotal="average" baseField="17" baseItem="1"/>
  </dataFields>
  <formats count="1">
    <format dxfId="132">
      <pivotArea field="6" outline="0" collapsedLevelsAreSubtotals="1">
        <references count="1">
          <reference field="4294967294" count="1" selected="0">
            <x v="1"/>
          </reference>
        </references>
      </pivotArea>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0000000}" name="Table13" displayName="Table13" ref="A3:AR240" totalsRowShown="0" headerRowDxfId="242" dataDxfId="240" headerRowBorderDxfId="241" tableBorderDxfId="239">
  <autoFilter ref="A3:AR240" xr:uid="{00000000-0009-0000-0100-000002000000}">
    <filterColumn colId="15">
      <filters>
        <filter val="JABODETABEK (INNER)"/>
        <filter val="JABODETABEK (OUTER)"/>
      </filters>
    </filterColumn>
    <filterColumn colId="39">
      <filters>
        <filter val="CME"/>
        <filter val="PRE-SITAC"/>
        <filter val="RFC"/>
        <filter val="RFI"/>
        <filter val="SITAC"/>
      </filters>
    </filterColumn>
  </autoFilter>
  <tableColumns count="44">
    <tableColumn id="2" xr3:uid="{00000000-0010-0000-0000-000002000000}" name="SONum" dataDxfId="238"/>
    <tableColumn id="3" xr3:uid="{00000000-0010-0000-0000-000003000000}" name="Site ID" dataDxfId="237"/>
    <tableColumn id="4" xr3:uid="{00000000-0010-0000-0000-000004000000}" name="Site ID Operator" dataDxfId="236"/>
    <tableColumn id="5" xr3:uid="{00000000-0010-0000-0000-000005000000}" name="Site Name TBG" dataDxfId="235"/>
    <tableColumn id="6" xr3:uid="{00000000-0010-0000-0000-000006000000}" name="Site Name Operator" dataDxfId="234"/>
    <tableColumn id="7" xr3:uid="{00000000-0010-0000-0000-000007000000}" name="Site Type" dataDxfId="233"/>
    <tableColumn id="8" xr3:uid="{00000000-0010-0000-0000-000008000000}" name="STIP Category" dataDxfId="232"/>
    <tableColumn id="9" xr3:uid="{00000000-0010-0000-0000-000009000000}" name="Operator ID" dataDxfId="231"/>
    <tableColumn id="10" xr3:uid="{00000000-0010-0000-0000-00000A000000}" name="Company ID" dataDxfId="230"/>
    <tableColumn id="1" xr3:uid="{00000000-0010-0000-0000-000001000000}" name="SOW Year" dataDxfId="229"/>
    <tableColumn id="11" xr3:uid="{00000000-0010-0000-0000-00000B000000}" name="STIP Number" dataDxfId="228"/>
    <tableColumn id="12" xr3:uid="{00000000-0010-0000-0000-00000C000000}" name="STIP Date" dataDxfId="227"/>
    <tableColumn id="13" xr3:uid="{00000000-0010-0000-0000-00000D000000}" name="Latitude NOM" dataDxfId="226"/>
    <tableColumn id="14" xr3:uid="{00000000-0010-0000-0000-00000E000000}" name="Longitude NOM" dataDxfId="225"/>
    <tableColumn id="15" xr3:uid="{00000000-0010-0000-0000-00000F000000}" name="Address" dataDxfId="224"/>
    <tableColumn id="16" xr3:uid="{00000000-0010-0000-0000-000010000000}" name="Regional" dataDxfId="223"/>
    <tableColumn id="17" xr3:uid="{00000000-0010-0000-0000-000011000000}" name="Residence" dataDxfId="222"/>
    <tableColumn id="18" xr3:uid="{00000000-0010-0000-0000-000012000000}" name="Province" dataDxfId="221"/>
    <tableColumn id="56" xr3:uid="{00000000-0010-0000-0000-000038000000}" name="Tower Height" dataDxfId="220"/>
    <tableColumn id="19" xr3:uid="{00000000-0010-0000-0000-000013000000}" name="Mitra" dataDxfId="219"/>
    <tableColumn id="20" xr3:uid="{00000000-0010-0000-0000-000014000000}" name="SITAC Officer" dataDxfId="218"/>
    <tableColumn id="21" xr3:uid="{00000000-0010-0000-0000-000015000000}" name="Cand" dataDxfId="217"/>
    <tableColumn id="22" xr3:uid="{00000000-0010-0000-0000-000016000000}" name="Latitude Candidate" dataDxfId="216"/>
    <tableColumn id="23" xr3:uid="{00000000-0010-0000-0000-000017000000}" name="Longitude Candidat" dataDxfId="215"/>
    <tableColumn id="24" xr3:uid="{00000000-0010-0000-0000-000018000000}" name="Propose Tower Height" dataDxfId="214"/>
    <tableColumn id="25" xr3:uid="{00000000-0010-0000-0000-000019000000}" name="RF Height" dataDxfId="213"/>
    <tableColumn id="26" xr3:uid="{00000000-0010-0000-0000-00001A000000}" name="Approval RNP Date" dataDxfId="212"/>
    <tableColumn id="27" xr3:uid="{00000000-0010-0000-0000-00001B000000}" name="MW Height/Diameter" dataDxfId="211"/>
    <tableColumn id="28" xr3:uid="{00000000-0010-0000-0000-00001C000000}" name="Approval TNP Date" dataDxfId="210"/>
    <tableColumn id="29" xr3:uid="{00000000-0010-0000-0000-00001D000000}" name="Tower Type" dataDxfId="209"/>
    <tableColumn id="30" xr3:uid="{00000000-0010-0000-0000-00001E000000}" name="Field Type" dataDxfId="208"/>
    <tableColumn id="35" xr3:uid="{00000000-0010-0000-0000-000023000000}" name="RFC Projection" dataDxfId="207"/>
    <tableColumn id="36" xr3:uid="{00000000-0010-0000-0000-000024000000}" name="RFC Month Projection" dataDxfId="206"/>
    <tableColumn id="50" xr3:uid="{00000000-0010-0000-0000-000032000000}" name="RFI Projection" dataDxfId="205"/>
    <tableColumn id="37" xr3:uid="{00000000-0010-0000-0000-000025000000}" name="RFC Date" dataDxfId="204"/>
    <tableColumn id="38" xr3:uid="{00000000-0010-0000-0000-000026000000}" name="Aging RFC" dataDxfId="203">
      <calculatedColumnFormula>IF(Table13[[#This Row],[RFC Remark]]="DONE",Table13[[#This Row],[RFC Date]]-Table13[[#This Row],[STIP Date]],$AJ$2-Table13[[#This Row],[STIP Date]])</calculatedColumnFormula>
    </tableColumn>
    <tableColumn id="39" xr3:uid="{00000000-0010-0000-0000-000027000000}" name="RFC Remark" dataDxfId="202"/>
    <tableColumn id="40" xr3:uid="{00000000-0010-0000-0000-000028000000}" name="SLA" dataDxfId="201"/>
    <tableColumn id="44" xr3:uid="{00000000-0010-0000-0000-00002C000000}" name="Aging SLA" dataDxfId="200"/>
    <tableColumn id="45" xr3:uid="{00000000-0010-0000-0000-00002D000000}" name="TAHAPAN PROJECT" dataDxfId="199"/>
    <tableColumn id="46" xr3:uid="{00000000-0010-0000-0000-00002E000000}" name="PROGRESS STATUS" dataDxfId="198"/>
    <tableColumn id="47" xr3:uid="{00000000-0010-0000-0000-00002F000000}" name="DETAIL PROGRESS" dataDxfId="197"/>
    <tableColumn id="49" xr3:uid="{00000000-0010-0000-0000-000031000000}" name="Issue" dataDxfId="196"/>
    <tableColumn id="48" xr3:uid="{00000000-0010-0000-0000-000030000000}" name="Action Plan" dataDxfId="195"/>
  </tableColumns>
  <tableStyleInfo name="TableStyleLight9"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pivotTable" Target="../pivotTables/pivotTable3.xml"/><Relationship Id="rId2" Type="http://schemas.openxmlformats.org/officeDocument/2006/relationships/pivotTable" Target="../pivotTables/pivotTable2.xml"/><Relationship Id="rId1" Type="http://schemas.openxmlformats.org/officeDocument/2006/relationships/pivotTable" Target="../pivotTables/pivotTable1.xml"/><Relationship Id="rId4" Type="http://schemas.openxmlformats.org/officeDocument/2006/relationships/pivotTable" Target="../pivotTables/pivotTable4.xml"/></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11.xml.rels><?xml version="1.0" encoding="UTF-8" standalone="yes"?>
<Relationships xmlns="http://schemas.openxmlformats.org/package/2006/relationships"><Relationship Id="rId1" Type="http://schemas.openxmlformats.org/officeDocument/2006/relationships/printerSettings" Target="../printerSettings/printerSettings10.bin"/></Relationships>
</file>

<file path=xl/worksheets/_rels/sheet12.xml.rels><?xml version="1.0" encoding="UTF-8" standalone="yes"?>
<Relationships xmlns="http://schemas.openxmlformats.org/package/2006/relationships"><Relationship Id="rId1" Type="http://schemas.openxmlformats.org/officeDocument/2006/relationships/printerSettings" Target="../printerSettings/printerSettings11.bin"/></Relationships>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3" Type="http://schemas.openxmlformats.org/officeDocument/2006/relationships/pivotTable" Target="../pivotTables/pivotTable7.xml"/><Relationship Id="rId2" Type="http://schemas.openxmlformats.org/officeDocument/2006/relationships/pivotTable" Target="../pivotTables/pivotTable6.xml"/><Relationship Id="rId1" Type="http://schemas.openxmlformats.org/officeDocument/2006/relationships/pivotTable" Target="../pivotTables/pivotTable5.xml"/><Relationship Id="rId5" Type="http://schemas.openxmlformats.org/officeDocument/2006/relationships/printerSettings" Target="../printerSettings/printerSettings8.bin"/><Relationship Id="rId4" Type="http://schemas.openxmlformats.org/officeDocument/2006/relationships/pivotTable" Target="../pivotTables/pivotTable8.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AB47"/>
  <sheetViews>
    <sheetView topLeftCell="A17" zoomScale="87" workbookViewId="0">
      <selection activeCell="L35" sqref="L35"/>
    </sheetView>
  </sheetViews>
  <sheetFormatPr defaultRowHeight="15"/>
  <cols>
    <col min="1" max="1" width="18" customWidth="1"/>
    <col min="2" max="2" width="18.42578125" customWidth="1"/>
    <col min="3" max="3" width="8" customWidth="1"/>
    <col min="4" max="4" width="11.28515625" customWidth="1"/>
    <col min="5" max="5" width="3.7109375" customWidth="1"/>
    <col min="6" max="6" width="6" customWidth="1"/>
    <col min="7" max="7" width="13.7109375" customWidth="1"/>
    <col min="8" max="8" width="15.28515625" customWidth="1"/>
    <col min="9" max="9" width="4.5703125" customWidth="1"/>
    <col min="10" max="10" width="11.5703125" customWidth="1"/>
    <col min="11" max="11" width="10.140625" customWidth="1"/>
    <col min="12" max="12" width="12.28515625" customWidth="1"/>
    <col min="13" max="13" width="4.85546875" customWidth="1"/>
    <col min="14" max="15" width="3.42578125" customWidth="1"/>
    <col min="16" max="16" width="13.7109375" customWidth="1"/>
    <col min="17" max="28" width="3.42578125" customWidth="1"/>
    <col min="29" max="29" width="13.7109375" customWidth="1"/>
    <col min="30" max="30" width="3.42578125" customWidth="1"/>
    <col min="31" max="32" width="13.7109375" customWidth="1"/>
    <col min="33" max="35" width="3.42578125" customWidth="1"/>
    <col min="36" max="36" width="13.7109375" customWidth="1"/>
    <col min="37" max="37" width="3.42578125" customWidth="1"/>
    <col min="38" max="38" width="13.7109375" customWidth="1"/>
    <col min="39" max="41" width="3.42578125" customWidth="1"/>
    <col min="42" max="44" width="13.7109375" customWidth="1"/>
    <col min="45" max="45" width="12.5703125" customWidth="1"/>
    <col min="46" max="46" width="13.7109375" customWidth="1"/>
    <col min="47" max="47" width="3.42578125" customWidth="1"/>
    <col min="48" max="50" width="13.7109375" customWidth="1"/>
    <col min="51" max="55" width="3.42578125" customWidth="1"/>
    <col min="56" max="97" width="4.5703125" customWidth="1"/>
    <col min="98" max="98" width="6.85546875" customWidth="1"/>
    <col min="99" max="99" width="7.28515625" customWidth="1"/>
    <col min="100" max="100" width="11.42578125" customWidth="1"/>
    <col min="101" max="214" width="16.7109375" bestFit="1" customWidth="1"/>
    <col min="215" max="215" width="11.42578125" bestFit="1" customWidth="1"/>
  </cols>
  <sheetData>
    <row r="1" spans="1:28">
      <c r="A1" s="422" t="s">
        <v>97</v>
      </c>
      <c r="B1" t="s">
        <v>2590</v>
      </c>
    </row>
    <row r="2" spans="1:28" ht="96">
      <c r="V2" s="889" t="s">
        <v>66</v>
      </c>
      <c r="W2" s="889" t="s">
        <v>1041</v>
      </c>
      <c r="X2" s="890" t="s">
        <v>79</v>
      </c>
      <c r="Y2" s="889" t="s">
        <v>80</v>
      </c>
      <c r="Z2" s="891" t="s">
        <v>3324</v>
      </c>
      <c r="AA2" s="892" t="s">
        <v>3325</v>
      </c>
      <c r="AB2" s="893" t="s">
        <v>2942</v>
      </c>
    </row>
    <row r="3" spans="1:28" ht="300">
      <c r="A3" s="422" t="s">
        <v>2595</v>
      </c>
      <c r="B3" s="422" t="s">
        <v>2594</v>
      </c>
      <c r="V3" s="785" t="s">
        <v>2209</v>
      </c>
      <c r="W3" s="785" t="s">
        <v>2203</v>
      </c>
      <c r="X3" s="894" t="s">
        <v>3326</v>
      </c>
      <c r="Y3" s="895" t="s">
        <v>3327</v>
      </c>
      <c r="Z3" s="896" t="s">
        <v>3328</v>
      </c>
      <c r="AA3" s="895" t="s">
        <v>3329</v>
      </c>
      <c r="AB3" s="897" t="s">
        <v>3330</v>
      </c>
    </row>
    <row r="4" spans="1:28" ht="409.5">
      <c r="A4" s="422" t="s">
        <v>2128</v>
      </c>
      <c r="B4" t="s">
        <v>2129</v>
      </c>
      <c r="V4" s="898" t="s">
        <v>2912</v>
      </c>
      <c r="W4" s="898" t="s">
        <v>2913</v>
      </c>
      <c r="X4" s="894" t="s">
        <v>3326</v>
      </c>
      <c r="Y4" s="785" t="s">
        <v>26</v>
      </c>
      <c r="Z4" s="785" t="s">
        <v>3331</v>
      </c>
      <c r="AA4" s="785" t="s">
        <v>3332</v>
      </c>
      <c r="AB4" s="899" t="s">
        <v>3333</v>
      </c>
    </row>
    <row r="5" spans="1:28" ht="409.5">
      <c r="A5" s="14" t="s">
        <v>2129</v>
      </c>
      <c r="B5" s="505"/>
      <c r="V5" s="898" t="s">
        <v>2930</v>
      </c>
      <c r="W5" s="898" t="s">
        <v>2931</v>
      </c>
      <c r="X5" s="894" t="s">
        <v>3326</v>
      </c>
      <c r="Y5" s="785" t="s">
        <v>53</v>
      </c>
      <c r="Z5" s="785" t="s">
        <v>3331</v>
      </c>
      <c r="AA5" s="785" t="s">
        <v>3334</v>
      </c>
      <c r="AB5" s="899" t="s">
        <v>3335</v>
      </c>
    </row>
    <row r="6" spans="1:28" ht="409.5">
      <c r="V6" s="898" t="s">
        <v>2916</v>
      </c>
      <c r="W6" s="898" t="s">
        <v>2917</v>
      </c>
      <c r="X6" s="894" t="s">
        <v>3326</v>
      </c>
      <c r="Y6" s="785" t="s">
        <v>659</v>
      </c>
      <c r="Z6" s="785" t="s">
        <v>3331</v>
      </c>
      <c r="AA6" s="785" t="s">
        <v>3332</v>
      </c>
      <c r="AB6" s="899" t="s">
        <v>3336</v>
      </c>
    </row>
    <row r="7" spans="1:28" ht="324">
      <c r="V7" s="898" t="s">
        <v>2934</v>
      </c>
      <c r="W7" s="898" t="s">
        <v>2935</v>
      </c>
      <c r="X7" s="894" t="s">
        <v>3326</v>
      </c>
      <c r="Y7" s="785" t="s">
        <v>53</v>
      </c>
      <c r="Z7" s="785" t="s">
        <v>3337</v>
      </c>
      <c r="AA7" s="785" t="s">
        <v>3334</v>
      </c>
      <c r="AB7" s="899" t="s">
        <v>3338</v>
      </c>
    </row>
    <row r="8" spans="1:28" ht="409.5">
      <c r="V8" s="898" t="s">
        <v>2922</v>
      </c>
      <c r="W8" s="898" t="s">
        <v>2923</v>
      </c>
      <c r="X8" s="894" t="s">
        <v>3326</v>
      </c>
      <c r="Y8" s="785" t="s">
        <v>26</v>
      </c>
      <c r="Z8" s="785" t="s">
        <v>3331</v>
      </c>
      <c r="AA8" s="785" t="s">
        <v>3339</v>
      </c>
      <c r="AB8" s="899" t="s">
        <v>3340</v>
      </c>
    </row>
    <row r="9" spans="1:28" ht="409.5">
      <c r="V9" s="900" t="s">
        <v>3112</v>
      </c>
      <c r="W9" s="900" t="s">
        <v>3113</v>
      </c>
      <c r="X9" s="894" t="s">
        <v>3326</v>
      </c>
      <c r="Y9" s="901" t="s">
        <v>12</v>
      </c>
      <c r="Z9" s="896" t="s">
        <v>3328</v>
      </c>
      <c r="AA9" s="785" t="s">
        <v>3341</v>
      </c>
      <c r="AB9" s="902" t="s">
        <v>3342</v>
      </c>
    </row>
    <row r="10" spans="1:28">
      <c r="A10" s="422" t="s">
        <v>97</v>
      </c>
      <c r="B10" t="s">
        <v>2590</v>
      </c>
    </row>
    <row r="11" spans="1:28">
      <c r="A11" s="422" t="s">
        <v>73</v>
      </c>
      <c r="B11" t="s">
        <v>4</v>
      </c>
    </row>
    <row r="13" spans="1:28">
      <c r="A13" s="422" t="s">
        <v>2128</v>
      </c>
      <c r="B13" t="s">
        <v>2595</v>
      </c>
    </row>
    <row r="14" spans="1:28">
      <c r="A14" s="14" t="s">
        <v>2966</v>
      </c>
      <c r="B14" s="505">
        <v>27</v>
      </c>
    </row>
    <row r="15" spans="1:28">
      <c r="A15" s="14" t="s">
        <v>3353</v>
      </c>
      <c r="B15" s="505">
        <v>3</v>
      </c>
    </row>
    <row r="16" spans="1:28">
      <c r="A16" s="14" t="s">
        <v>2129</v>
      </c>
      <c r="B16" s="505">
        <v>30</v>
      </c>
    </row>
    <row r="19" spans="1:21">
      <c r="A19" s="996" t="s">
        <v>1415</v>
      </c>
      <c r="B19" s="996" t="s">
        <v>2629</v>
      </c>
      <c r="C19" s="996"/>
      <c r="D19" s="996"/>
      <c r="E19" s="669"/>
      <c r="F19" s="996" t="s">
        <v>2591</v>
      </c>
      <c r="G19" s="996"/>
      <c r="J19" s="997" t="s">
        <v>2630</v>
      </c>
      <c r="K19" s="997"/>
      <c r="L19" s="997"/>
    </row>
    <row r="20" spans="1:21">
      <c r="A20" s="996"/>
      <c r="B20" s="669" t="s">
        <v>2589</v>
      </c>
      <c r="C20" s="669" t="s">
        <v>2588</v>
      </c>
      <c r="D20" s="669" t="s">
        <v>2631</v>
      </c>
      <c r="E20" s="669" t="s">
        <v>2129</v>
      </c>
      <c r="F20" s="669" t="s">
        <v>2593</v>
      </c>
      <c r="G20" s="669" t="s">
        <v>2592</v>
      </c>
      <c r="J20" s="670">
        <v>2020</v>
      </c>
      <c r="K20" s="670" t="s">
        <v>2632</v>
      </c>
      <c r="L20" s="670" t="s">
        <v>2633</v>
      </c>
    </row>
    <row r="21" spans="1:21">
      <c r="A21" s="600" t="s">
        <v>3</v>
      </c>
      <c r="B21" s="600">
        <v>3</v>
      </c>
      <c r="C21" s="600">
        <v>1</v>
      </c>
      <c r="D21" s="600">
        <v>0</v>
      </c>
      <c r="E21" s="600">
        <f>SUM(B21:D21)</f>
        <v>4</v>
      </c>
      <c r="F21" s="600">
        <v>4</v>
      </c>
      <c r="G21" s="600">
        <v>0</v>
      </c>
      <c r="J21" s="600"/>
      <c r="K21" s="600">
        <v>174</v>
      </c>
      <c r="L21" s="600">
        <v>59</v>
      </c>
    </row>
    <row r="22" spans="1:21">
      <c r="A22" s="600" t="s">
        <v>1827</v>
      </c>
      <c r="B22" s="600">
        <v>1</v>
      </c>
      <c r="C22" s="600">
        <v>3</v>
      </c>
      <c r="D22" s="600">
        <v>0</v>
      </c>
      <c r="E22" s="600">
        <f>SUM(B22:D22)</f>
        <v>4</v>
      </c>
      <c r="F22" s="600">
        <v>4</v>
      </c>
      <c r="G22" s="600">
        <v>0</v>
      </c>
    </row>
    <row r="23" spans="1:21">
      <c r="A23" s="600" t="s">
        <v>2634</v>
      </c>
      <c r="B23" s="600">
        <v>0</v>
      </c>
      <c r="C23" s="600">
        <v>1</v>
      </c>
      <c r="D23" s="600">
        <v>0</v>
      </c>
      <c r="E23" s="600">
        <f>SUM(B23:D23)</f>
        <v>1</v>
      </c>
      <c r="F23" s="600">
        <v>0</v>
      </c>
      <c r="G23" s="600">
        <v>1</v>
      </c>
    </row>
    <row r="24" spans="1:21">
      <c r="A24" s="669" t="s">
        <v>2129</v>
      </c>
      <c r="B24" s="669">
        <f>SUM(B21:B23)</f>
        <v>4</v>
      </c>
      <c r="C24" s="669">
        <f>SUM(C21:C23)</f>
        <v>5</v>
      </c>
      <c r="D24" s="669">
        <f>SUM(D21:D23)</f>
        <v>0</v>
      </c>
      <c r="E24" s="669">
        <f>SUM(B24:D24)</f>
        <v>9</v>
      </c>
      <c r="F24" s="669">
        <f>SUM(F21:F23)</f>
        <v>8</v>
      </c>
      <c r="G24" s="669">
        <f>SUM(G21:G23)</f>
        <v>1</v>
      </c>
    </row>
    <row r="25" spans="1:21">
      <c r="A25" s="737"/>
      <c r="B25" s="737"/>
      <c r="C25" s="737"/>
      <c r="D25" s="737"/>
      <c r="E25" s="737"/>
      <c r="F25" s="737"/>
      <c r="G25" s="737"/>
      <c r="I25" s="882"/>
      <c r="J25" s="882"/>
      <c r="K25" s="882"/>
      <c r="L25" s="882"/>
      <c r="M25" s="882"/>
      <c r="N25" s="882"/>
      <c r="O25" s="882"/>
      <c r="P25" s="882"/>
      <c r="Q25" s="883"/>
      <c r="R25" s="882"/>
      <c r="S25" s="882"/>
    </row>
    <row r="26" spans="1:21">
      <c r="I26" s="599"/>
      <c r="J26" s="599"/>
      <c r="K26" s="25"/>
      <c r="L26" s="25"/>
      <c r="M26" s="881"/>
      <c r="N26" s="881"/>
      <c r="O26" s="599"/>
      <c r="P26" s="599"/>
      <c r="Q26" s="881"/>
      <c r="R26" s="881"/>
      <c r="S26" s="881"/>
    </row>
    <row r="29" spans="1:21">
      <c r="A29" s="422" t="s">
        <v>97</v>
      </c>
      <c r="B29" t="s">
        <v>2590</v>
      </c>
      <c r="I29" s="14"/>
      <c r="J29" s="505"/>
      <c r="K29" s="505"/>
      <c r="L29" s="505"/>
      <c r="M29" s="505"/>
      <c r="N29" s="505"/>
      <c r="O29" s="505"/>
      <c r="P29" s="505"/>
      <c r="Q29" s="505"/>
      <c r="R29" s="505"/>
      <c r="S29" s="505"/>
      <c r="T29" s="505"/>
      <c r="U29" s="505"/>
    </row>
    <row r="30" spans="1:21">
      <c r="G30" s="422" t="s">
        <v>94</v>
      </c>
      <c r="H30" t="s">
        <v>3351</v>
      </c>
      <c r="P30" s="505"/>
      <c r="Q30" s="505"/>
      <c r="R30" s="505"/>
      <c r="S30" s="505"/>
      <c r="T30" s="505"/>
      <c r="U30" s="505"/>
    </row>
    <row r="31" spans="1:21">
      <c r="A31" s="422" t="s">
        <v>2128</v>
      </c>
      <c r="B31" t="s">
        <v>3037</v>
      </c>
      <c r="P31" s="505"/>
      <c r="Q31" s="505"/>
      <c r="R31" s="505"/>
      <c r="S31" s="505"/>
      <c r="T31" s="505"/>
      <c r="U31" s="505"/>
    </row>
    <row r="32" spans="1:21">
      <c r="A32" s="14" t="s">
        <v>2966</v>
      </c>
      <c r="B32" s="505">
        <v>3</v>
      </c>
      <c r="G32" s="422" t="s">
        <v>2128</v>
      </c>
      <c r="H32" t="s">
        <v>3037</v>
      </c>
    </row>
    <row r="33" spans="1:21">
      <c r="A33" s="738" t="s">
        <v>1079</v>
      </c>
      <c r="B33" s="505">
        <v>1</v>
      </c>
      <c r="G33" s="14" t="s">
        <v>3352</v>
      </c>
      <c r="H33" s="505">
        <v>24</v>
      </c>
      <c r="I33">
        <v>47</v>
      </c>
      <c r="J33">
        <v>24</v>
      </c>
    </row>
    <row r="34" spans="1:21">
      <c r="A34" s="738" t="s">
        <v>35</v>
      </c>
      <c r="B34" s="505">
        <v>1</v>
      </c>
      <c r="G34" s="14" t="s">
        <v>3353</v>
      </c>
      <c r="H34" s="505">
        <v>50</v>
      </c>
      <c r="I34">
        <v>59</v>
      </c>
      <c r="J34">
        <v>9</v>
      </c>
    </row>
    <row r="35" spans="1:21">
      <c r="A35" s="738" t="s">
        <v>12</v>
      </c>
      <c r="B35" s="505">
        <v>1</v>
      </c>
      <c r="G35" s="14" t="s">
        <v>2129</v>
      </c>
      <c r="H35" s="505">
        <v>74</v>
      </c>
      <c r="I35">
        <f>I33+I34</f>
        <v>106</v>
      </c>
      <c r="J35" s="912">
        <v>0.68493150684931503</v>
      </c>
      <c r="K35" s="913">
        <v>0.8</v>
      </c>
      <c r="L35" s="914">
        <f>J35/K35</f>
        <v>0.8561643835616437</v>
      </c>
      <c r="P35" s="505"/>
      <c r="Q35" s="505"/>
      <c r="R35" s="505"/>
      <c r="S35" s="505"/>
      <c r="T35" s="505"/>
      <c r="U35" s="505"/>
    </row>
    <row r="36" spans="1:21">
      <c r="A36" s="14" t="s">
        <v>2908</v>
      </c>
      <c r="B36" s="505">
        <v>19</v>
      </c>
      <c r="P36" s="505"/>
      <c r="Q36" s="505"/>
      <c r="R36" s="505"/>
      <c r="S36" s="505"/>
      <c r="T36" s="505"/>
      <c r="U36" s="505"/>
    </row>
    <row r="37" spans="1:21">
      <c r="A37" s="738" t="s">
        <v>638</v>
      </c>
      <c r="B37" s="505">
        <v>6</v>
      </c>
      <c r="P37" s="505"/>
      <c r="Q37" s="505"/>
      <c r="R37" s="505"/>
      <c r="S37" s="505"/>
      <c r="T37" s="505"/>
      <c r="U37" s="505"/>
    </row>
    <row r="38" spans="1:21">
      <c r="A38" s="738" t="s">
        <v>26</v>
      </c>
      <c r="B38" s="505">
        <v>8</v>
      </c>
      <c r="G38" s="910">
        <f>GETPIVOTDATA("Site ID",$G$32,"SLA","ONTIME")/GETPIVOTDATA("Site ID",$G$32)</f>
        <v>0.67567567567567566</v>
      </c>
      <c r="H38" s="911">
        <f>I34/I35</f>
        <v>0.55660377358490565</v>
      </c>
      <c r="J38" s="910">
        <f>80%-H38</f>
        <v>0.2433962264150944</v>
      </c>
      <c r="K38" s="505"/>
      <c r="L38" s="505"/>
      <c r="M38" s="505"/>
      <c r="N38" s="505"/>
      <c r="O38" s="505"/>
      <c r="P38" s="505"/>
      <c r="Q38" s="505"/>
      <c r="R38" s="505"/>
      <c r="S38" s="505"/>
      <c r="T38" s="505"/>
      <c r="U38" s="505"/>
    </row>
    <row r="39" spans="1:21">
      <c r="A39" s="738" t="s">
        <v>35</v>
      </c>
      <c r="B39" s="505">
        <v>1</v>
      </c>
      <c r="J39" s="505"/>
      <c r="K39" s="505"/>
      <c r="L39" s="505"/>
      <c r="M39" s="505"/>
      <c r="N39" s="505"/>
      <c r="O39" s="505"/>
      <c r="P39" s="505"/>
      <c r="Q39" s="505"/>
      <c r="R39" s="505"/>
      <c r="S39" s="505"/>
      <c r="T39" s="505"/>
      <c r="U39" s="505"/>
    </row>
    <row r="40" spans="1:21">
      <c r="A40" s="738" t="s">
        <v>53</v>
      </c>
      <c r="B40" s="505">
        <v>2</v>
      </c>
      <c r="J40" s="911">
        <f>H38/K35</f>
        <v>0.695754716981132</v>
      </c>
      <c r="K40" s="505"/>
      <c r="L40" s="505"/>
      <c r="M40" s="505"/>
      <c r="N40" s="505"/>
      <c r="O40" s="505"/>
      <c r="P40" s="505"/>
      <c r="Q40" s="505"/>
      <c r="R40" s="505"/>
      <c r="S40" s="505"/>
      <c r="T40" s="505"/>
      <c r="U40" s="505"/>
    </row>
    <row r="41" spans="1:21">
      <c r="A41" s="738" t="s">
        <v>659</v>
      </c>
      <c r="B41" s="505">
        <v>2</v>
      </c>
      <c r="J41" s="505"/>
      <c r="K41" s="505"/>
      <c r="L41" s="505"/>
      <c r="M41" s="505"/>
      <c r="N41" s="505"/>
      <c r="O41" s="505"/>
      <c r="P41" s="505"/>
      <c r="Q41" s="505"/>
      <c r="R41" s="505"/>
      <c r="S41" s="505"/>
      <c r="T41" s="505"/>
      <c r="U41" s="505"/>
    </row>
    <row r="42" spans="1:21">
      <c r="A42" s="14" t="s">
        <v>2909</v>
      </c>
      <c r="B42" s="505">
        <v>14</v>
      </c>
      <c r="J42" s="505"/>
      <c r="K42" s="505"/>
      <c r="L42" s="505"/>
      <c r="M42" s="505"/>
      <c r="N42" s="505"/>
      <c r="O42" s="505"/>
      <c r="P42" s="505"/>
      <c r="Q42" s="505"/>
      <c r="R42" s="505"/>
      <c r="S42" s="505"/>
      <c r="T42" s="505"/>
      <c r="U42" s="505"/>
    </row>
    <row r="43" spans="1:21">
      <c r="A43" s="738" t="s">
        <v>505</v>
      </c>
      <c r="B43" s="505">
        <v>3</v>
      </c>
      <c r="J43" s="505"/>
      <c r="K43" s="505"/>
      <c r="L43" s="505"/>
      <c r="M43" s="505"/>
      <c r="N43" s="505"/>
      <c r="O43" s="505"/>
      <c r="P43" s="505"/>
      <c r="Q43" s="505"/>
      <c r="R43" s="505"/>
      <c r="S43" s="505"/>
      <c r="T43" s="505"/>
      <c r="U43" s="505"/>
    </row>
    <row r="44" spans="1:21">
      <c r="A44" s="738" t="s">
        <v>6</v>
      </c>
      <c r="B44" s="505">
        <v>3</v>
      </c>
      <c r="J44" s="505"/>
      <c r="K44" s="505"/>
      <c r="L44" s="505"/>
      <c r="M44" s="505"/>
      <c r="N44" s="505"/>
      <c r="O44" s="505"/>
      <c r="P44" s="505"/>
      <c r="Q44" s="505"/>
      <c r="R44" s="505"/>
      <c r="S44" s="505"/>
      <c r="T44" s="505"/>
      <c r="U44" s="505"/>
    </row>
    <row r="45" spans="1:21">
      <c r="A45" s="738" t="s">
        <v>21</v>
      </c>
      <c r="B45" s="505">
        <v>4</v>
      </c>
      <c r="J45" s="505"/>
      <c r="K45" s="505"/>
      <c r="L45" s="505"/>
      <c r="M45" s="505"/>
      <c r="N45" s="505"/>
      <c r="O45" s="505"/>
      <c r="P45" s="505"/>
      <c r="Q45" s="505"/>
      <c r="R45" s="505"/>
      <c r="S45" s="505"/>
      <c r="T45" s="505"/>
      <c r="U45" s="505"/>
    </row>
    <row r="46" spans="1:21">
      <c r="A46" s="738" t="s">
        <v>19</v>
      </c>
      <c r="B46" s="505">
        <v>4</v>
      </c>
      <c r="J46" s="505"/>
      <c r="K46" s="505"/>
      <c r="L46" s="505"/>
      <c r="M46" s="505"/>
      <c r="N46" s="505"/>
      <c r="O46" s="505"/>
      <c r="P46" s="505"/>
      <c r="Q46" s="505"/>
      <c r="R46" s="505"/>
      <c r="S46" s="505"/>
      <c r="T46" s="505"/>
      <c r="U46" s="505"/>
    </row>
    <row r="47" spans="1:21">
      <c r="A47" s="14" t="s">
        <v>2129</v>
      </c>
      <c r="B47" s="505">
        <v>36</v>
      </c>
    </row>
  </sheetData>
  <mergeCells count="4">
    <mergeCell ref="A19:A20"/>
    <mergeCell ref="B19:D19"/>
    <mergeCell ref="F19:G19"/>
    <mergeCell ref="J19:L19"/>
  </mergeCells>
  <conditionalFormatting sqref="J26 I25">
    <cfRule type="duplicateValues" dxfId="251" priority="1"/>
  </conditionalFormatting>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filterMode="1"/>
  <dimension ref="A2:O129"/>
  <sheetViews>
    <sheetView zoomScale="90" zoomScaleNormal="70" workbookViewId="0">
      <pane xSplit="3" ySplit="4" topLeftCell="F128" activePane="bottomRight" state="frozen"/>
      <selection pane="topRight" activeCell="D1" sqref="D1"/>
      <selection pane="bottomLeft" activeCell="A5" sqref="A5"/>
      <selection pane="bottomRight" activeCell="A4" sqref="A4:M129"/>
    </sheetView>
  </sheetViews>
  <sheetFormatPr defaultColWidth="9.140625" defaultRowHeight="15"/>
  <cols>
    <col min="1" max="1" width="38.85546875" style="148" bestFit="1" customWidth="1"/>
    <col min="2" max="3" width="11.5703125" style="148" hidden="1" customWidth="1"/>
    <col min="4" max="4" width="11.5703125" style="250" customWidth="1"/>
    <col min="5" max="5" width="27.7109375" style="251" hidden="1" customWidth="1"/>
    <col min="6" max="6" width="19" style="251" customWidth="1"/>
    <col min="7" max="7" width="12.7109375" style="148" customWidth="1"/>
    <col min="8" max="8" width="29" style="252" customWidth="1"/>
    <col min="9" max="9" width="17" style="252" customWidth="1"/>
    <col min="10" max="10" width="18.42578125" style="253" customWidth="1"/>
    <col min="11" max="11" width="17.85546875" style="253" hidden="1" customWidth="1"/>
    <col min="12" max="12" width="20.85546875" style="148" customWidth="1"/>
    <col min="13" max="13" width="29.140625" style="254" customWidth="1"/>
    <col min="14" max="14" width="11.5703125" style="255" bestFit="1" customWidth="1"/>
    <col min="15" max="15" width="16.140625" style="148" bestFit="1" customWidth="1"/>
    <col min="16" max="16384" width="9.140625" style="148"/>
  </cols>
  <sheetData>
    <row r="2" spans="1:15">
      <c r="A2" s="148" t="s">
        <v>1118</v>
      </c>
      <c r="D2" s="250" t="s">
        <v>1701</v>
      </c>
      <c r="E2" s="251" t="s">
        <v>1702</v>
      </c>
      <c r="G2" s="148" t="s">
        <v>1703</v>
      </c>
    </row>
    <row r="3" spans="1:15">
      <c r="A3" s="148" t="s">
        <v>1196</v>
      </c>
      <c r="D3" s="250" t="s">
        <v>1704</v>
      </c>
    </row>
    <row r="4" spans="1:15" ht="30">
      <c r="A4" s="551" t="s">
        <v>68</v>
      </c>
      <c r="B4" s="257" t="s">
        <v>1705</v>
      </c>
      <c r="C4" s="258" t="s">
        <v>1706</v>
      </c>
      <c r="D4" s="551" t="s">
        <v>82</v>
      </c>
      <c r="E4" s="256" t="s">
        <v>1707</v>
      </c>
      <c r="F4" s="551" t="s">
        <v>1708</v>
      </c>
      <c r="G4" s="551" t="s">
        <v>70</v>
      </c>
      <c r="H4" s="552" t="s">
        <v>90</v>
      </c>
      <c r="I4" s="552" t="s">
        <v>1709</v>
      </c>
      <c r="J4" s="552" t="s">
        <v>1710</v>
      </c>
      <c r="K4" s="259" t="s">
        <v>1711</v>
      </c>
      <c r="L4" s="551" t="s">
        <v>1712</v>
      </c>
      <c r="M4" s="551" t="s">
        <v>1713</v>
      </c>
      <c r="N4" s="260" t="s">
        <v>1714</v>
      </c>
      <c r="O4" s="148" t="s">
        <v>1715</v>
      </c>
    </row>
    <row r="5" spans="1:15" s="267" customFormat="1" ht="48" hidden="1" customHeight="1">
      <c r="A5" s="261" t="s">
        <v>1277</v>
      </c>
      <c r="B5" s="262" t="s">
        <v>1716</v>
      </c>
      <c r="C5" s="263" t="s">
        <v>1717</v>
      </c>
      <c r="D5" s="264" t="s">
        <v>1718</v>
      </c>
      <c r="E5" s="264" t="s">
        <v>1719</v>
      </c>
      <c r="F5" s="264"/>
      <c r="G5" s="264" t="s">
        <v>1196</v>
      </c>
      <c r="H5" s="265">
        <f>VLOOKUP(A5,Input!B7:W133,22,0)</f>
        <v>17000000</v>
      </c>
      <c r="I5" s="265" t="s">
        <v>1719</v>
      </c>
      <c r="J5" s="264" t="s">
        <v>1719</v>
      </c>
      <c r="K5" s="263" t="s">
        <v>1719</v>
      </c>
      <c r="L5" s="264" t="s">
        <v>1719</v>
      </c>
      <c r="M5" s="266" t="s">
        <v>1720</v>
      </c>
      <c r="N5" s="260" t="s">
        <v>167</v>
      </c>
    </row>
    <row r="6" spans="1:15" s="267" customFormat="1" ht="45.75" hidden="1" customHeight="1">
      <c r="A6" s="268" t="s">
        <v>1721</v>
      </c>
      <c r="B6" s="269" t="s">
        <v>1722</v>
      </c>
      <c r="C6" s="263" t="s">
        <v>1717</v>
      </c>
      <c r="D6" s="263" t="s">
        <v>1718</v>
      </c>
      <c r="E6" s="263" t="s">
        <v>1719</v>
      </c>
      <c r="F6" s="263"/>
      <c r="G6" s="263" t="s">
        <v>1196</v>
      </c>
      <c r="H6" s="270">
        <v>15000000</v>
      </c>
      <c r="I6" s="270" t="s">
        <v>1719</v>
      </c>
      <c r="J6" s="263" t="s">
        <v>1719</v>
      </c>
      <c r="K6" s="263" t="s">
        <v>1719</v>
      </c>
      <c r="L6" s="263" t="s">
        <v>1719</v>
      </c>
      <c r="M6" s="271" t="s">
        <v>1720</v>
      </c>
      <c r="N6" s="260" t="s">
        <v>167</v>
      </c>
    </row>
    <row r="7" spans="1:15" ht="45" hidden="1" customHeight="1">
      <c r="A7" s="268" t="s">
        <v>1723</v>
      </c>
      <c r="B7" s="212"/>
      <c r="C7" s="212"/>
      <c r="D7" s="263" t="s">
        <v>1718</v>
      </c>
      <c r="E7" s="263" t="s">
        <v>1719</v>
      </c>
      <c r="F7" s="263"/>
      <c r="G7" s="263" t="s">
        <v>1196</v>
      </c>
      <c r="H7" s="270">
        <v>20000000</v>
      </c>
      <c r="I7" s="272" t="s">
        <v>1724</v>
      </c>
      <c r="J7" s="272">
        <v>88000000</v>
      </c>
      <c r="K7" s="272"/>
      <c r="L7" s="212" t="s">
        <v>1725</v>
      </c>
      <c r="M7" s="273" t="s">
        <v>1726</v>
      </c>
      <c r="N7" s="260" t="s">
        <v>167</v>
      </c>
    </row>
    <row r="8" spans="1:15" ht="75" hidden="1" customHeight="1">
      <c r="A8" s="268" t="s">
        <v>1727</v>
      </c>
      <c r="B8" s="211"/>
      <c r="C8" s="211"/>
      <c r="D8" s="263" t="s">
        <v>1718</v>
      </c>
      <c r="E8" s="274" t="s">
        <v>1719</v>
      </c>
      <c r="F8" s="274"/>
      <c r="G8" s="275" t="s">
        <v>1196</v>
      </c>
      <c r="H8" s="276">
        <v>23000000</v>
      </c>
      <c r="I8" s="272" t="s">
        <v>1728</v>
      </c>
      <c r="J8" s="276">
        <v>86400000</v>
      </c>
      <c r="K8" s="276"/>
      <c r="L8" s="263" t="s">
        <v>1725</v>
      </c>
      <c r="M8" s="277" t="s">
        <v>1729</v>
      </c>
      <c r="N8" s="260" t="s">
        <v>167</v>
      </c>
    </row>
    <row r="9" spans="1:15" s="267" customFormat="1" ht="75" hidden="1" customHeight="1">
      <c r="A9" s="268" t="s">
        <v>1730</v>
      </c>
      <c r="B9" s="211"/>
      <c r="C9" s="211"/>
      <c r="D9" s="263" t="s">
        <v>1718</v>
      </c>
      <c r="E9" s="274" t="s">
        <v>1719</v>
      </c>
      <c r="F9" s="274"/>
      <c r="G9" s="275" t="s">
        <v>1196</v>
      </c>
      <c r="H9" s="276">
        <v>18000000</v>
      </c>
      <c r="I9" s="272" t="s">
        <v>1731</v>
      </c>
      <c r="J9" s="276">
        <v>84000000</v>
      </c>
      <c r="K9" s="276"/>
      <c r="L9" s="263" t="s">
        <v>1725</v>
      </c>
      <c r="M9" s="277" t="s">
        <v>1732</v>
      </c>
      <c r="N9" s="260" t="s">
        <v>167</v>
      </c>
    </row>
    <row r="10" spans="1:15" ht="90" hidden="1" customHeight="1">
      <c r="A10" s="268" t="s">
        <v>1290</v>
      </c>
      <c r="B10" s="263"/>
      <c r="C10" s="263"/>
      <c r="D10" s="263" t="s">
        <v>1733</v>
      </c>
      <c r="E10" s="263" t="s">
        <v>1719</v>
      </c>
      <c r="F10" s="263"/>
      <c r="G10" s="275" t="s">
        <v>1196</v>
      </c>
      <c r="H10" s="270">
        <v>20000000</v>
      </c>
      <c r="I10" s="278" t="s">
        <v>1734</v>
      </c>
      <c r="J10" s="279">
        <v>89700000</v>
      </c>
      <c r="K10" s="270"/>
      <c r="L10" s="263" t="s">
        <v>1725</v>
      </c>
      <c r="M10" s="274" t="s">
        <v>1735</v>
      </c>
      <c r="N10" s="260" t="s">
        <v>167</v>
      </c>
    </row>
    <row r="11" spans="1:15" ht="53.25" hidden="1" customHeight="1">
      <c r="A11" s="268" t="s">
        <v>1736</v>
      </c>
      <c r="B11" s="211"/>
      <c r="C11" s="211"/>
      <c r="D11" s="263" t="s">
        <v>1737</v>
      </c>
      <c r="E11" s="274" t="s">
        <v>1719</v>
      </c>
      <c r="F11" s="274"/>
      <c r="G11" s="275" t="s">
        <v>1196</v>
      </c>
      <c r="H11" s="276">
        <v>20000000</v>
      </c>
      <c r="I11" s="272" t="s">
        <v>1738</v>
      </c>
      <c r="J11" s="276">
        <v>70000000</v>
      </c>
      <c r="K11" s="276"/>
      <c r="L11" s="263" t="s">
        <v>1725</v>
      </c>
      <c r="M11" s="212" t="s">
        <v>1739</v>
      </c>
      <c r="N11" s="255" t="s">
        <v>167</v>
      </c>
    </row>
    <row r="12" spans="1:15" s="267" customFormat="1" ht="165" hidden="1" customHeight="1">
      <c r="A12" s="268" t="s">
        <v>1252</v>
      </c>
      <c r="B12" s="212"/>
      <c r="C12" s="212"/>
      <c r="D12" s="263" t="s">
        <v>1740</v>
      </c>
      <c r="E12" s="274" t="s">
        <v>1719</v>
      </c>
      <c r="F12" s="271" t="str">
        <f>VLOOKUP(A12,[3]Progress!E10:K255,7,0)</f>
        <v>XL</v>
      </c>
      <c r="G12" s="263" t="s">
        <v>1196</v>
      </c>
      <c r="H12" s="270">
        <v>20000000</v>
      </c>
      <c r="I12" s="272" t="s">
        <v>1741</v>
      </c>
      <c r="J12" s="272">
        <v>98500000</v>
      </c>
      <c r="K12" s="272">
        <v>76500000</v>
      </c>
      <c r="L12" s="212" t="s">
        <v>1725</v>
      </c>
      <c r="M12" s="280" t="s">
        <v>1742</v>
      </c>
      <c r="N12" s="255" t="s">
        <v>1743</v>
      </c>
    </row>
    <row r="13" spans="1:15" ht="75" hidden="1" customHeight="1">
      <c r="A13" s="268" t="s">
        <v>1245</v>
      </c>
      <c r="B13" s="212"/>
      <c r="C13" s="212"/>
      <c r="D13" s="263" t="s">
        <v>1744</v>
      </c>
      <c r="E13" s="263" t="s">
        <v>1719</v>
      </c>
      <c r="F13" s="263"/>
      <c r="G13" s="263" t="s">
        <v>1196</v>
      </c>
      <c r="H13" s="270">
        <v>20000000</v>
      </c>
      <c r="I13" s="272" t="s">
        <v>1745</v>
      </c>
      <c r="J13" s="272" t="s">
        <v>1746</v>
      </c>
      <c r="K13" s="272"/>
      <c r="L13" s="212" t="s">
        <v>1725</v>
      </c>
      <c r="M13" s="281" t="s">
        <v>1747</v>
      </c>
      <c r="N13" s="260" t="s">
        <v>167</v>
      </c>
    </row>
    <row r="14" spans="1:15" s="267" customFormat="1" ht="75" hidden="1" customHeight="1">
      <c r="A14" s="268" t="s">
        <v>1748</v>
      </c>
      <c r="B14" s="212"/>
      <c r="C14" s="212"/>
      <c r="D14" s="263" t="s">
        <v>1744</v>
      </c>
      <c r="E14" s="263" t="s">
        <v>1719</v>
      </c>
      <c r="F14" s="263"/>
      <c r="G14" s="263" t="s">
        <v>1196</v>
      </c>
      <c r="H14" s="270">
        <v>19000000</v>
      </c>
      <c r="I14" s="272" t="s">
        <v>1749</v>
      </c>
      <c r="J14" s="272">
        <v>79500000</v>
      </c>
      <c r="K14" s="272"/>
      <c r="L14" s="212" t="s">
        <v>1725</v>
      </c>
      <c r="M14" s="281" t="s">
        <v>1750</v>
      </c>
      <c r="N14" s="282" t="s">
        <v>167</v>
      </c>
    </row>
    <row r="15" spans="1:15" ht="60" hidden="1" customHeight="1">
      <c r="A15" s="268" t="s">
        <v>1225</v>
      </c>
      <c r="B15" s="211"/>
      <c r="C15" s="211"/>
      <c r="D15" s="263" t="s">
        <v>1744</v>
      </c>
      <c r="E15" s="271" t="s">
        <v>1719</v>
      </c>
      <c r="F15" s="271"/>
      <c r="G15" s="275" t="s">
        <v>1196</v>
      </c>
      <c r="H15" s="276">
        <v>20000000</v>
      </c>
      <c r="I15" s="270" t="s">
        <v>1751</v>
      </c>
      <c r="J15" s="276">
        <v>87500000</v>
      </c>
      <c r="K15" s="276"/>
      <c r="L15" s="211" t="s">
        <v>1725</v>
      </c>
      <c r="M15" s="283" t="s">
        <v>1752</v>
      </c>
      <c r="N15" s="255" t="s">
        <v>167</v>
      </c>
    </row>
    <row r="16" spans="1:15" ht="60" hidden="1" customHeight="1">
      <c r="A16" s="268" t="s">
        <v>1227</v>
      </c>
      <c r="B16" s="211"/>
      <c r="C16" s="211"/>
      <c r="D16" s="263" t="s">
        <v>1744</v>
      </c>
      <c r="E16" s="271" t="s">
        <v>1719</v>
      </c>
      <c r="F16" s="271"/>
      <c r="G16" s="275" t="s">
        <v>1196</v>
      </c>
      <c r="H16" s="276">
        <v>18000000</v>
      </c>
      <c r="I16" s="272" t="s">
        <v>1753</v>
      </c>
      <c r="J16" s="276">
        <v>95000000</v>
      </c>
      <c r="K16" s="276"/>
      <c r="L16" s="211" t="s">
        <v>1725</v>
      </c>
      <c r="M16" s="283" t="s">
        <v>1752</v>
      </c>
      <c r="N16" s="255" t="s">
        <v>167</v>
      </c>
    </row>
    <row r="17" spans="1:15" s="267" customFormat="1" ht="30" hidden="1" customHeight="1">
      <c r="A17" s="268" t="s">
        <v>1233</v>
      </c>
      <c r="B17" s="212"/>
      <c r="C17" s="212"/>
      <c r="D17" s="263" t="s">
        <v>1740</v>
      </c>
      <c r="E17" s="274" t="s">
        <v>1754</v>
      </c>
      <c r="F17" s="274"/>
      <c r="G17" s="263" t="s">
        <v>1196</v>
      </c>
      <c r="H17" s="270">
        <v>20000000</v>
      </c>
      <c r="I17" s="272" t="s">
        <v>1755</v>
      </c>
      <c r="J17" s="272">
        <v>114000000</v>
      </c>
      <c r="K17" s="272">
        <v>85500000</v>
      </c>
      <c r="L17" s="212" t="s">
        <v>1756</v>
      </c>
      <c r="M17" s="273" t="s">
        <v>1757</v>
      </c>
      <c r="N17" s="255" t="s">
        <v>1743</v>
      </c>
    </row>
    <row r="18" spans="1:15" ht="57" hidden="1" customHeight="1">
      <c r="A18" s="268" t="s">
        <v>1758</v>
      </c>
      <c r="B18" s="284"/>
      <c r="C18" s="285"/>
      <c r="D18" s="263" t="s">
        <v>1759</v>
      </c>
      <c r="E18" s="274" t="s">
        <v>1760</v>
      </c>
      <c r="F18" s="271" t="s">
        <v>1423</v>
      </c>
      <c r="G18" s="286" t="s">
        <v>1118</v>
      </c>
      <c r="H18" s="272">
        <v>17000000</v>
      </c>
      <c r="I18" s="287" t="s">
        <v>1218</v>
      </c>
      <c r="J18" s="272" t="s">
        <v>1761</v>
      </c>
      <c r="K18" s="288"/>
      <c r="L18" s="263" t="s">
        <v>1725</v>
      </c>
      <c r="M18" s="212" t="s">
        <v>1762</v>
      </c>
    </row>
    <row r="19" spans="1:15" ht="75" hidden="1" customHeight="1">
      <c r="A19" s="261" t="s">
        <v>1763</v>
      </c>
      <c r="B19" s="263" t="s">
        <v>1764</v>
      </c>
      <c r="C19" s="263"/>
      <c r="D19" s="264" t="s">
        <v>1765</v>
      </c>
      <c r="E19" s="264" t="s">
        <v>1719</v>
      </c>
      <c r="F19" s="264"/>
      <c r="G19" s="264" t="s">
        <v>1196</v>
      </c>
      <c r="H19" s="265">
        <f>VLOOKUP(A19,Input!B14:W158,22,0)</f>
        <v>20000000</v>
      </c>
      <c r="I19" s="265" t="s">
        <v>1766</v>
      </c>
      <c r="J19" s="265">
        <v>93500000</v>
      </c>
      <c r="K19" s="270"/>
      <c r="L19" s="264" t="s">
        <v>1725</v>
      </c>
      <c r="M19" s="289" t="s">
        <v>1767</v>
      </c>
      <c r="N19" s="290" t="s">
        <v>167</v>
      </c>
    </row>
    <row r="20" spans="1:15" ht="75" hidden="1" customHeight="1">
      <c r="A20" s="268" t="s">
        <v>1768</v>
      </c>
      <c r="B20" s="212"/>
      <c r="C20" s="212"/>
      <c r="D20" s="263" t="s">
        <v>1765</v>
      </c>
      <c r="E20" s="263" t="s">
        <v>1719</v>
      </c>
      <c r="F20" s="263"/>
      <c r="G20" s="263" t="s">
        <v>1196</v>
      </c>
      <c r="H20" s="270">
        <v>20000000</v>
      </c>
      <c r="I20" s="270">
        <v>30000000</v>
      </c>
      <c r="J20" s="270">
        <v>98600000</v>
      </c>
      <c r="K20" s="272"/>
      <c r="L20" s="263" t="s">
        <v>1725</v>
      </c>
      <c r="M20" s="291" t="s">
        <v>1769</v>
      </c>
      <c r="N20" s="260" t="s">
        <v>167</v>
      </c>
    </row>
    <row r="21" spans="1:15" ht="28.5" hidden="1" customHeight="1">
      <c r="A21" s="268" t="s">
        <v>1770</v>
      </c>
      <c r="B21" s="292" t="s">
        <v>1771</v>
      </c>
      <c r="C21" s="292" t="s">
        <v>1772</v>
      </c>
      <c r="D21" s="263" t="s">
        <v>1773</v>
      </c>
      <c r="E21" s="274" t="s">
        <v>1719</v>
      </c>
      <c r="F21" s="274"/>
      <c r="G21" s="263" t="s">
        <v>1196</v>
      </c>
      <c r="H21" s="270">
        <v>20000000</v>
      </c>
      <c r="I21" s="270">
        <v>31500000</v>
      </c>
      <c r="J21" s="270">
        <v>97000000</v>
      </c>
      <c r="K21" s="270"/>
      <c r="L21" s="263" t="s">
        <v>1725</v>
      </c>
      <c r="M21" s="275" t="s">
        <v>1774</v>
      </c>
      <c r="N21" s="260" t="s">
        <v>167</v>
      </c>
    </row>
    <row r="22" spans="1:15" ht="30" hidden="1" customHeight="1">
      <c r="A22" s="268" t="s">
        <v>1775</v>
      </c>
      <c r="B22" s="212"/>
      <c r="C22" s="212"/>
      <c r="D22" s="263" t="s">
        <v>1765</v>
      </c>
      <c r="E22" s="274" t="s">
        <v>1719</v>
      </c>
      <c r="F22" s="274"/>
      <c r="G22" s="275" t="s">
        <v>1196</v>
      </c>
      <c r="H22" s="272">
        <v>24000000</v>
      </c>
      <c r="I22" s="270" t="s">
        <v>1776</v>
      </c>
      <c r="J22" s="272">
        <v>97400000</v>
      </c>
      <c r="K22" s="272"/>
      <c r="L22" s="263" t="s">
        <v>1725</v>
      </c>
      <c r="M22" s="293" t="s">
        <v>1777</v>
      </c>
      <c r="N22" s="260" t="s">
        <v>167</v>
      </c>
    </row>
    <row r="23" spans="1:15" ht="72" hidden="1" customHeight="1">
      <c r="A23" s="268" t="s">
        <v>1370</v>
      </c>
      <c r="B23" s="211"/>
      <c r="C23" s="211"/>
      <c r="D23" s="263" t="s">
        <v>1765</v>
      </c>
      <c r="E23" s="274" t="s">
        <v>1719</v>
      </c>
      <c r="F23" s="274"/>
      <c r="G23" s="275" t="s">
        <v>1196</v>
      </c>
      <c r="H23" s="276">
        <v>19000000</v>
      </c>
      <c r="I23" s="272" t="s">
        <v>1778</v>
      </c>
      <c r="J23" s="276">
        <v>98250000</v>
      </c>
      <c r="K23" s="276"/>
      <c r="L23" s="212" t="s">
        <v>1725</v>
      </c>
      <c r="M23" s="283" t="s">
        <v>1779</v>
      </c>
      <c r="N23" s="255" t="s">
        <v>167</v>
      </c>
    </row>
    <row r="24" spans="1:15" ht="75" hidden="1" customHeight="1">
      <c r="A24" s="268" t="s">
        <v>1780</v>
      </c>
      <c r="B24" s="211"/>
      <c r="C24" s="211"/>
      <c r="D24" s="263" t="s">
        <v>1765</v>
      </c>
      <c r="E24" s="271" t="s">
        <v>1719</v>
      </c>
      <c r="F24" s="271"/>
      <c r="G24" s="275" t="s">
        <v>1196</v>
      </c>
      <c r="H24" s="276">
        <v>20000000</v>
      </c>
      <c r="I24" s="272" t="s">
        <v>1781</v>
      </c>
      <c r="J24" s="276">
        <v>94000000</v>
      </c>
      <c r="K24" s="276"/>
      <c r="L24" s="263" t="s">
        <v>1725</v>
      </c>
      <c r="M24" s="283" t="s">
        <v>1782</v>
      </c>
      <c r="N24" s="255" t="s">
        <v>167</v>
      </c>
    </row>
    <row r="25" spans="1:15" ht="63.75" hidden="1" customHeight="1">
      <c r="A25" s="268" t="s">
        <v>1391</v>
      </c>
      <c r="B25" s="211"/>
      <c r="C25" s="211"/>
      <c r="D25" s="263" t="s">
        <v>1759</v>
      </c>
      <c r="E25" s="274" t="s">
        <v>1719</v>
      </c>
      <c r="F25" s="271" t="str">
        <f>VLOOKUP(A25,[3]Progress!E28:K273,7,0)</f>
        <v>XL</v>
      </c>
      <c r="G25" s="286" t="s">
        <v>1118</v>
      </c>
      <c r="H25" s="272">
        <v>20000000</v>
      </c>
      <c r="I25" s="287" t="s">
        <v>1218</v>
      </c>
      <c r="J25" s="272" t="s">
        <v>1761</v>
      </c>
      <c r="K25" s="276"/>
      <c r="L25" s="294" t="s">
        <v>1218</v>
      </c>
      <c r="M25" s="212" t="s">
        <v>1783</v>
      </c>
      <c r="O25" s="148">
        <v>75000000</v>
      </c>
    </row>
    <row r="26" spans="1:15" ht="30" hidden="1" customHeight="1">
      <c r="A26" s="268" t="s">
        <v>551</v>
      </c>
      <c r="B26" s="212"/>
      <c r="C26" s="212"/>
      <c r="D26" s="263" t="s">
        <v>1784</v>
      </c>
      <c r="E26" s="274" t="s">
        <v>1754</v>
      </c>
      <c r="F26" s="274"/>
      <c r="G26" s="286" t="s">
        <v>1118</v>
      </c>
      <c r="H26" s="270">
        <v>30000000</v>
      </c>
      <c r="I26" s="272" t="s">
        <v>1785</v>
      </c>
      <c r="J26" s="272">
        <v>96500000</v>
      </c>
      <c r="K26" s="272"/>
      <c r="L26" s="212" t="s">
        <v>1786</v>
      </c>
      <c r="M26" s="277" t="s">
        <v>1787</v>
      </c>
      <c r="N26" s="255" t="s">
        <v>1743</v>
      </c>
    </row>
    <row r="27" spans="1:15" ht="62.25" hidden="1" customHeight="1">
      <c r="A27" s="268" t="s">
        <v>1330</v>
      </c>
      <c r="B27" s="211"/>
      <c r="C27" s="211"/>
      <c r="D27" s="263" t="s">
        <v>1718</v>
      </c>
      <c r="E27" s="274" t="s">
        <v>1719</v>
      </c>
      <c r="F27" s="271" t="s">
        <v>3</v>
      </c>
      <c r="G27" s="212" t="s">
        <v>1196</v>
      </c>
      <c r="H27" s="276">
        <v>20000000</v>
      </c>
      <c r="I27" s="276">
        <v>18000000</v>
      </c>
      <c r="J27" s="276">
        <v>95000000</v>
      </c>
      <c r="K27" s="276"/>
      <c r="L27" s="263" t="s">
        <v>1725</v>
      </c>
      <c r="M27" s="211" t="s">
        <v>1788</v>
      </c>
    </row>
    <row r="28" spans="1:15" ht="30" hidden="1" customHeight="1">
      <c r="A28" s="268" t="s">
        <v>1789</v>
      </c>
      <c r="B28" s="211"/>
      <c r="C28" s="211"/>
      <c r="D28" s="263" t="s">
        <v>1744</v>
      </c>
      <c r="E28" s="274" t="s">
        <v>1719</v>
      </c>
      <c r="F28" s="271"/>
      <c r="G28" s="275" t="s">
        <v>1196</v>
      </c>
      <c r="H28" s="276">
        <v>20000000</v>
      </c>
      <c r="I28" s="272" t="s">
        <v>1790</v>
      </c>
      <c r="J28" s="276">
        <v>90000000</v>
      </c>
      <c r="K28" s="276"/>
      <c r="L28" s="263" t="s">
        <v>1725</v>
      </c>
      <c r="M28" s="283" t="s">
        <v>1791</v>
      </c>
      <c r="N28" s="255" t="s">
        <v>167</v>
      </c>
    </row>
    <row r="29" spans="1:15" ht="30" hidden="1" customHeight="1">
      <c r="A29" s="268" t="s">
        <v>1231</v>
      </c>
      <c r="B29" s="211"/>
      <c r="C29" s="211"/>
      <c r="D29" s="263" t="s">
        <v>1718</v>
      </c>
      <c r="E29" s="274" t="s">
        <v>1719</v>
      </c>
      <c r="F29" s="271" t="str">
        <f>VLOOKUP(A29,[3]Progress!E21:K266,7,0)</f>
        <v>TSEL</v>
      </c>
      <c r="G29" s="275" t="s">
        <v>1196</v>
      </c>
      <c r="H29" s="272">
        <v>20000000</v>
      </c>
      <c r="I29" s="272" t="s">
        <v>1792</v>
      </c>
      <c r="J29" s="272">
        <v>89500000</v>
      </c>
      <c r="K29" s="276"/>
      <c r="L29" s="263" t="s">
        <v>1725</v>
      </c>
      <c r="M29" s="212" t="s">
        <v>1793</v>
      </c>
    </row>
    <row r="30" spans="1:15" ht="105" hidden="1" customHeight="1">
      <c r="A30" s="268" t="s">
        <v>58</v>
      </c>
      <c r="B30" s="211"/>
      <c r="C30" s="211"/>
      <c r="D30" s="263" t="s">
        <v>1744</v>
      </c>
      <c r="E30" s="274" t="s">
        <v>1794</v>
      </c>
      <c r="F30" s="271" t="str">
        <f>VLOOKUP(A30,[3]Progress!E19:K264,7,0)</f>
        <v>SMARTFREN</v>
      </c>
      <c r="G30" s="275" t="s">
        <v>1196</v>
      </c>
      <c r="H30" s="272">
        <v>23000000</v>
      </c>
      <c r="I30" s="272" t="s">
        <v>1795</v>
      </c>
      <c r="J30" s="272">
        <v>96500000</v>
      </c>
      <c r="K30" s="276"/>
      <c r="L30" s="263" t="s">
        <v>1725</v>
      </c>
      <c r="M30" s="280" t="s">
        <v>1796</v>
      </c>
      <c r="N30" s="255" t="s">
        <v>167</v>
      </c>
    </row>
    <row r="31" spans="1:15" ht="57" hidden="1" customHeight="1">
      <c r="A31" s="268" t="s">
        <v>1797</v>
      </c>
      <c r="B31" s="284"/>
      <c r="C31" s="285"/>
      <c r="D31" s="263" t="s">
        <v>1733</v>
      </c>
      <c r="E31" s="274" t="s">
        <v>1760</v>
      </c>
      <c r="F31" s="271" t="s">
        <v>1423</v>
      </c>
      <c r="G31" s="212" t="s">
        <v>1196</v>
      </c>
      <c r="H31" s="272">
        <v>20000000</v>
      </c>
      <c r="I31" s="272" t="s">
        <v>1798</v>
      </c>
      <c r="J31" s="272">
        <v>95600000</v>
      </c>
      <c r="K31" s="288"/>
      <c r="L31" s="263" t="s">
        <v>1725</v>
      </c>
      <c r="M31" s="280" t="s">
        <v>1799</v>
      </c>
    </row>
    <row r="32" spans="1:15" ht="30" hidden="1" customHeight="1">
      <c r="A32" s="261" t="s">
        <v>1583</v>
      </c>
      <c r="B32" s="211"/>
      <c r="C32" s="211"/>
      <c r="D32" s="264" t="s">
        <v>1733</v>
      </c>
      <c r="E32" s="295" t="s">
        <v>1719</v>
      </c>
      <c r="F32" s="296" t="s">
        <v>16</v>
      </c>
      <c r="G32" s="297" t="s">
        <v>1196</v>
      </c>
      <c r="H32" s="298">
        <v>20000000</v>
      </c>
      <c r="I32" s="299" t="s">
        <v>1800</v>
      </c>
      <c r="J32" s="299">
        <v>97500000</v>
      </c>
      <c r="K32" s="276"/>
      <c r="L32" s="297" t="s">
        <v>1725</v>
      </c>
      <c r="M32" s="300" t="s">
        <v>1801</v>
      </c>
    </row>
    <row r="33" spans="1:14" ht="30" hidden="1" customHeight="1">
      <c r="A33" s="268" t="s">
        <v>1802</v>
      </c>
      <c r="B33" s="211"/>
      <c r="C33" s="211"/>
      <c r="D33" s="263" t="s">
        <v>1733</v>
      </c>
      <c r="E33" s="274" t="s">
        <v>1719</v>
      </c>
      <c r="F33" s="271" t="str">
        <f>VLOOKUP(A33,[3]Progress!E26:K271,7,0)</f>
        <v>XL</v>
      </c>
      <c r="G33" s="212" t="s">
        <v>1196</v>
      </c>
      <c r="H33" s="272">
        <v>20000000</v>
      </c>
      <c r="I33" s="272" t="s">
        <v>1803</v>
      </c>
      <c r="J33" s="272">
        <v>96500000</v>
      </c>
      <c r="K33" s="276"/>
      <c r="L33" s="263" t="s">
        <v>1725</v>
      </c>
      <c r="M33" s="212" t="s">
        <v>1804</v>
      </c>
      <c r="N33" s="255" t="s">
        <v>1630</v>
      </c>
    </row>
    <row r="34" spans="1:14" ht="30" hidden="1" customHeight="1">
      <c r="A34" s="268" t="s">
        <v>1805</v>
      </c>
      <c r="B34" s="211"/>
      <c r="C34" s="211"/>
      <c r="D34" s="263" t="s">
        <v>1806</v>
      </c>
      <c r="E34" s="301" t="s">
        <v>1719</v>
      </c>
      <c r="F34" s="271" t="s">
        <v>16</v>
      </c>
      <c r="G34" s="211" t="s">
        <v>1196</v>
      </c>
      <c r="H34" s="276">
        <v>15000000</v>
      </c>
      <c r="I34" s="276" t="s">
        <v>1807</v>
      </c>
      <c r="J34" s="276">
        <v>78000000</v>
      </c>
      <c r="K34" s="276"/>
      <c r="L34" s="263" t="s">
        <v>1725</v>
      </c>
      <c r="M34" s="212" t="s">
        <v>1808</v>
      </c>
    </row>
    <row r="35" spans="1:14" ht="34.5" hidden="1" customHeight="1">
      <c r="A35" s="268" t="s">
        <v>1340</v>
      </c>
      <c r="B35" s="211"/>
      <c r="C35" s="211"/>
      <c r="D35" s="263" t="s">
        <v>1809</v>
      </c>
      <c r="E35" s="274" t="s">
        <v>1719</v>
      </c>
      <c r="F35" s="271" t="s">
        <v>1423</v>
      </c>
      <c r="G35" s="212" t="s">
        <v>1196</v>
      </c>
      <c r="H35" s="276">
        <v>20000000</v>
      </c>
      <c r="I35" s="276">
        <v>14500000</v>
      </c>
      <c r="J35" s="276">
        <v>94500000</v>
      </c>
      <c r="K35" s="276"/>
      <c r="L35" s="263" t="s">
        <v>1725</v>
      </c>
      <c r="M35" s="211" t="s">
        <v>1788</v>
      </c>
    </row>
    <row r="36" spans="1:14" ht="31.5" hidden="1" customHeight="1">
      <c r="A36" s="268" t="s">
        <v>1392</v>
      </c>
      <c r="B36" s="211"/>
      <c r="C36" s="211"/>
      <c r="D36" s="263" t="s">
        <v>1759</v>
      </c>
      <c r="E36" s="274" t="s">
        <v>1810</v>
      </c>
      <c r="F36" s="271" t="s">
        <v>16</v>
      </c>
      <c r="G36" s="286" t="s">
        <v>1118</v>
      </c>
      <c r="H36" s="276">
        <v>17000000</v>
      </c>
      <c r="I36" s="302" t="s">
        <v>1218</v>
      </c>
      <c r="J36" s="276" t="s">
        <v>1761</v>
      </c>
      <c r="K36" s="276"/>
      <c r="L36" s="263" t="s">
        <v>1725</v>
      </c>
      <c r="M36" s="212" t="s">
        <v>1811</v>
      </c>
    </row>
    <row r="37" spans="1:14" ht="45" hidden="1" customHeight="1">
      <c r="A37" s="268" t="s">
        <v>1216</v>
      </c>
      <c r="B37" s="211"/>
      <c r="C37" s="211"/>
      <c r="D37" s="263" t="s">
        <v>1812</v>
      </c>
      <c r="E37" s="274" t="s">
        <v>1719</v>
      </c>
      <c r="F37" s="271" t="s">
        <v>16</v>
      </c>
      <c r="G37" s="212" t="s">
        <v>1196</v>
      </c>
      <c r="H37" s="272">
        <v>15000000</v>
      </c>
      <c r="I37" s="272" t="s">
        <v>1813</v>
      </c>
      <c r="J37" s="272">
        <v>76400000</v>
      </c>
      <c r="K37" s="276"/>
      <c r="L37" s="212" t="s">
        <v>1725</v>
      </c>
      <c r="M37" s="212" t="s">
        <v>1814</v>
      </c>
    </row>
    <row r="38" spans="1:14" ht="45" hidden="1" customHeight="1">
      <c r="A38" s="268" t="s">
        <v>1394</v>
      </c>
      <c r="B38" s="211"/>
      <c r="C38" s="211"/>
      <c r="D38" s="263" t="s">
        <v>1759</v>
      </c>
      <c r="E38" s="274" t="s">
        <v>1810</v>
      </c>
      <c r="F38" s="271" t="s">
        <v>16</v>
      </c>
      <c r="G38" s="286" t="s">
        <v>1118</v>
      </c>
      <c r="H38" s="276">
        <v>20000000</v>
      </c>
      <c r="I38" s="302" t="s">
        <v>1218</v>
      </c>
      <c r="J38" s="276" t="s">
        <v>1761</v>
      </c>
      <c r="K38" s="276"/>
      <c r="L38" s="294" t="s">
        <v>1218</v>
      </c>
      <c r="M38" s="212" t="s">
        <v>1815</v>
      </c>
    </row>
    <row r="39" spans="1:14" ht="30" hidden="1" customHeight="1">
      <c r="A39" s="268" t="s">
        <v>1816</v>
      </c>
      <c r="B39" s="211"/>
      <c r="C39" s="211"/>
      <c r="D39" s="263" t="s">
        <v>1737</v>
      </c>
      <c r="E39" s="274" t="s">
        <v>1817</v>
      </c>
      <c r="F39" s="271" t="s">
        <v>1423</v>
      </c>
      <c r="G39" s="263" t="s">
        <v>1196</v>
      </c>
      <c r="H39" s="276">
        <v>20000000</v>
      </c>
      <c r="I39" s="272" t="s">
        <v>1818</v>
      </c>
      <c r="J39" s="276">
        <v>80000000</v>
      </c>
      <c r="K39" s="276"/>
      <c r="L39" s="263" t="s">
        <v>1725</v>
      </c>
      <c r="M39" s="273" t="s">
        <v>1819</v>
      </c>
      <c r="N39" s="255" t="s">
        <v>167</v>
      </c>
    </row>
    <row r="40" spans="1:14" ht="105" hidden="1" customHeight="1">
      <c r="A40" s="268" t="s">
        <v>532</v>
      </c>
      <c r="B40" s="303" t="s">
        <v>1820</v>
      </c>
      <c r="C40" s="212" t="s">
        <v>1717</v>
      </c>
      <c r="D40" s="263" t="s">
        <v>1784</v>
      </c>
      <c r="E40" s="274" t="s">
        <v>1817</v>
      </c>
      <c r="F40" s="271" t="str">
        <f>VLOOKUP(A40,[3]Progress!E17:K262,7,0)</f>
        <v>SMARTFREN</v>
      </c>
      <c r="G40" s="286" t="s">
        <v>1118</v>
      </c>
      <c r="H40" s="270">
        <v>17000000</v>
      </c>
      <c r="I40" s="272" t="s">
        <v>1821</v>
      </c>
      <c r="J40" s="272">
        <v>70000000</v>
      </c>
      <c r="K40" s="272"/>
      <c r="L40" s="212" t="s">
        <v>1725</v>
      </c>
      <c r="M40" s="273" t="s">
        <v>1822</v>
      </c>
      <c r="N40" s="255" t="s">
        <v>1743</v>
      </c>
    </row>
    <row r="41" spans="1:14" ht="35.25" hidden="1" customHeight="1">
      <c r="A41" s="268" t="s">
        <v>1230</v>
      </c>
      <c r="B41" s="211"/>
      <c r="C41" s="211"/>
      <c r="D41" s="263" t="s">
        <v>1744</v>
      </c>
      <c r="E41" s="274" t="s">
        <v>1817</v>
      </c>
      <c r="F41" s="271" t="str">
        <f>VLOOKUP(A41,[3]Progress!E22:K267,7,0)</f>
        <v>SMARTFREN</v>
      </c>
      <c r="G41" s="211" t="s">
        <v>1196</v>
      </c>
      <c r="H41" s="276">
        <v>23000000</v>
      </c>
      <c r="I41" s="272" t="s">
        <v>1823</v>
      </c>
      <c r="J41" s="276">
        <v>92000000</v>
      </c>
      <c r="K41" s="276"/>
      <c r="L41" s="263" t="s">
        <v>1725</v>
      </c>
      <c r="M41" s="273" t="s">
        <v>1824</v>
      </c>
    </row>
    <row r="42" spans="1:14" ht="30.75" hidden="1" customHeight="1">
      <c r="A42" s="211" t="s">
        <v>1825</v>
      </c>
      <c r="B42" s="211"/>
      <c r="C42" s="211"/>
      <c r="D42" s="211" t="s">
        <v>1759</v>
      </c>
      <c r="E42" s="274" t="s">
        <v>1719</v>
      </c>
      <c r="F42" s="301" t="s">
        <v>16</v>
      </c>
      <c r="G42" s="211" t="s">
        <v>1118</v>
      </c>
      <c r="H42" s="276">
        <v>18000000</v>
      </c>
      <c r="I42" s="276" t="s">
        <v>1761</v>
      </c>
      <c r="J42" s="276" t="s">
        <v>1761</v>
      </c>
      <c r="K42" s="276"/>
      <c r="L42" s="211" t="s">
        <v>1761</v>
      </c>
      <c r="M42" s="211" t="s">
        <v>1826</v>
      </c>
    </row>
    <row r="43" spans="1:14" ht="57" hidden="1" customHeight="1">
      <c r="A43" s="304" t="s">
        <v>1366</v>
      </c>
      <c r="B43" s="566"/>
      <c r="C43" s="566"/>
      <c r="D43" s="304" t="s">
        <v>1809</v>
      </c>
      <c r="E43" s="305" t="s">
        <v>1760</v>
      </c>
      <c r="F43" s="306" t="s">
        <v>1827</v>
      </c>
      <c r="G43" s="304" t="s">
        <v>1196</v>
      </c>
      <c r="H43" s="307">
        <v>20000000</v>
      </c>
      <c r="I43" s="307" t="s">
        <v>1766</v>
      </c>
      <c r="J43" s="307" t="s">
        <v>1828</v>
      </c>
      <c r="K43" s="568"/>
      <c r="L43" s="304" t="s">
        <v>1725</v>
      </c>
      <c r="M43" s="304" t="s">
        <v>1829</v>
      </c>
    </row>
    <row r="44" spans="1:14" ht="57" hidden="1" customHeight="1">
      <c r="A44" s="212" t="s">
        <v>1279</v>
      </c>
      <c r="B44" s="211"/>
      <c r="C44" s="211"/>
      <c r="D44" s="212" t="s">
        <v>1718</v>
      </c>
      <c r="E44" s="274" t="s">
        <v>1760</v>
      </c>
      <c r="F44" s="263" t="s">
        <v>1827</v>
      </c>
      <c r="G44" s="212" t="s">
        <v>1196</v>
      </c>
      <c r="H44" s="272">
        <v>18000000</v>
      </c>
      <c r="I44" s="272" t="s">
        <v>1830</v>
      </c>
      <c r="J44" s="272">
        <v>74000000</v>
      </c>
      <c r="K44" s="276"/>
      <c r="L44" s="212" t="s">
        <v>1725</v>
      </c>
      <c r="M44" s="212" t="s">
        <v>1831</v>
      </c>
    </row>
    <row r="45" spans="1:14" ht="57" hidden="1" customHeight="1">
      <c r="A45" s="212" t="s">
        <v>1232</v>
      </c>
      <c r="B45" s="211"/>
      <c r="C45" s="211"/>
      <c r="D45" s="212" t="s">
        <v>1718</v>
      </c>
      <c r="E45" s="274" t="s">
        <v>1760</v>
      </c>
      <c r="F45" s="263" t="s">
        <v>16</v>
      </c>
      <c r="G45" s="212" t="s">
        <v>1196</v>
      </c>
      <c r="H45" s="272">
        <v>20000000</v>
      </c>
      <c r="I45" s="272" t="s">
        <v>1792</v>
      </c>
      <c r="J45" s="272">
        <v>88500000</v>
      </c>
      <c r="K45" s="276"/>
      <c r="L45" s="212" t="s">
        <v>1725</v>
      </c>
      <c r="M45" s="212" t="s">
        <v>1832</v>
      </c>
    </row>
    <row r="46" spans="1:14" s="250" customFormat="1" ht="49.5" hidden="1" customHeight="1">
      <c r="A46" s="211" t="s">
        <v>1233</v>
      </c>
      <c r="B46" s="211"/>
      <c r="C46" s="211"/>
      <c r="D46" s="211" t="s">
        <v>1740</v>
      </c>
      <c r="E46" s="301" t="s">
        <v>1719</v>
      </c>
      <c r="F46" s="301" t="s">
        <v>16</v>
      </c>
      <c r="G46" s="211" t="s">
        <v>1196</v>
      </c>
      <c r="H46" s="276">
        <v>20000000</v>
      </c>
      <c r="I46" s="276" t="s">
        <v>1833</v>
      </c>
      <c r="J46" s="276" t="s">
        <v>1834</v>
      </c>
      <c r="K46" s="276"/>
      <c r="L46" s="211" t="s">
        <v>1725</v>
      </c>
      <c r="M46" s="211" t="s">
        <v>1835</v>
      </c>
      <c r="N46" s="255"/>
    </row>
    <row r="47" spans="1:14" ht="21.75" hidden="1" customHeight="1">
      <c r="A47" s="308" t="s">
        <v>1402</v>
      </c>
      <c r="B47" s="566"/>
      <c r="C47" s="566"/>
      <c r="D47" s="211" t="s">
        <v>1759</v>
      </c>
      <c r="E47" s="211" t="s">
        <v>1719</v>
      </c>
      <c r="F47" s="211" t="s">
        <v>3</v>
      </c>
      <c r="G47" s="211" t="s">
        <v>1118</v>
      </c>
      <c r="H47" s="309" t="s">
        <v>1836</v>
      </c>
      <c r="I47" s="276" t="s">
        <v>1761</v>
      </c>
      <c r="J47" s="276" t="s">
        <v>1761</v>
      </c>
      <c r="K47" s="568"/>
      <c r="L47" s="211" t="s">
        <v>1761</v>
      </c>
      <c r="M47" s="211" t="s">
        <v>1837</v>
      </c>
    </row>
    <row r="48" spans="1:14" ht="30" hidden="1" customHeight="1">
      <c r="A48" s="310" t="s">
        <v>1403</v>
      </c>
      <c r="B48" s="566"/>
      <c r="C48" s="566"/>
      <c r="D48" s="311" t="s">
        <v>1759</v>
      </c>
      <c r="E48" s="211" t="s">
        <v>1719</v>
      </c>
      <c r="F48" s="311" t="s">
        <v>3</v>
      </c>
      <c r="G48" s="311" t="s">
        <v>1118</v>
      </c>
      <c r="H48" s="309" t="s">
        <v>1836</v>
      </c>
      <c r="I48" s="312" t="s">
        <v>1761</v>
      </c>
      <c r="J48" s="312" t="s">
        <v>1761</v>
      </c>
      <c r="K48" s="568"/>
      <c r="L48" s="311" t="s">
        <v>1761</v>
      </c>
      <c r="M48" s="311" t="s">
        <v>1837</v>
      </c>
    </row>
    <row r="49" spans="1:14" ht="15" hidden="1" customHeight="1">
      <c r="A49" s="211" t="s">
        <v>1372</v>
      </c>
      <c r="B49" s="211"/>
      <c r="C49" s="211"/>
      <c r="D49" s="211" t="s">
        <v>1765</v>
      </c>
      <c r="E49" s="274" t="s">
        <v>1760</v>
      </c>
      <c r="F49" s="211" t="s">
        <v>3</v>
      </c>
      <c r="G49" s="211" t="s">
        <v>1196</v>
      </c>
      <c r="H49" s="276" t="s">
        <v>1838</v>
      </c>
      <c r="I49" s="276" t="s">
        <v>1839</v>
      </c>
      <c r="J49" s="276">
        <v>94000000</v>
      </c>
      <c r="K49" s="276"/>
      <c r="L49" s="211" t="s">
        <v>1725</v>
      </c>
      <c r="M49" s="211" t="s">
        <v>1840</v>
      </c>
    </row>
    <row r="50" spans="1:14" ht="30.75" hidden="1" customHeight="1">
      <c r="A50" s="211" t="s">
        <v>1355</v>
      </c>
      <c r="B50" s="211"/>
      <c r="C50" s="211"/>
      <c r="D50" s="211" t="s">
        <v>1784</v>
      </c>
      <c r="E50" s="211" t="s">
        <v>1719</v>
      </c>
      <c r="F50" s="271" t="s">
        <v>16</v>
      </c>
      <c r="G50" s="286" t="s">
        <v>1118</v>
      </c>
      <c r="H50" s="276">
        <v>16000000</v>
      </c>
      <c r="I50" s="276" t="s">
        <v>1800</v>
      </c>
      <c r="J50" s="276">
        <v>68000000</v>
      </c>
      <c r="K50" s="276"/>
      <c r="L50" s="211" t="s">
        <v>1725</v>
      </c>
      <c r="M50" s="211" t="s">
        <v>1841</v>
      </c>
    </row>
    <row r="51" spans="1:14" ht="15" hidden="1" customHeight="1">
      <c r="A51" s="311" t="s">
        <v>1392</v>
      </c>
      <c r="B51" s="566"/>
      <c r="C51" s="566"/>
      <c r="D51" s="311" t="s">
        <v>1759</v>
      </c>
      <c r="E51" s="305" t="s">
        <v>1760</v>
      </c>
      <c r="F51" s="311" t="s">
        <v>16</v>
      </c>
      <c r="G51" s="311" t="s">
        <v>1118</v>
      </c>
      <c r="H51" s="313" t="s">
        <v>1842</v>
      </c>
      <c r="I51" s="312" t="s">
        <v>1761</v>
      </c>
      <c r="J51" s="312" t="s">
        <v>1761</v>
      </c>
      <c r="K51" s="568"/>
      <c r="L51" s="311" t="s">
        <v>1761</v>
      </c>
      <c r="M51" s="311" t="s">
        <v>1843</v>
      </c>
    </row>
    <row r="52" spans="1:14" ht="15" hidden="1" customHeight="1">
      <c r="A52" s="211" t="s">
        <v>1400</v>
      </c>
      <c r="B52" s="211"/>
      <c r="C52" s="211"/>
      <c r="D52" s="211" t="s">
        <v>1759</v>
      </c>
      <c r="E52" s="274" t="s">
        <v>1760</v>
      </c>
      <c r="F52" s="211" t="s">
        <v>16</v>
      </c>
      <c r="G52" s="211" t="s">
        <v>1118</v>
      </c>
      <c r="H52" s="314" t="s">
        <v>1844</v>
      </c>
      <c r="I52" s="276" t="s">
        <v>1761</v>
      </c>
      <c r="J52" s="276" t="s">
        <v>1761</v>
      </c>
      <c r="K52" s="276"/>
      <c r="L52" s="211" t="s">
        <v>1761</v>
      </c>
      <c r="M52" s="211" t="s">
        <v>1843</v>
      </c>
    </row>
    <row r="53" spans="1:14" ht="15" hidden="1" customHeight="1">
      <c r="A53" s="211" t="s">
        <v>1650</v>
      </c>
      <c r="B53" s="211"/>
      <c r="C53" s="211"/>
      <c r="D53" s="211" t="s">
        <v>1759</v>
      </c>
      <c r="E53" s="274" t="s">
        <v>1760</v>
      </c>
      <c r="F53" s="211" t="s">
        <v>16</v>
      </c>
      <c r="G53" s="211" t="s">
        <v>1118</v>
      </c>
      <c r="H53" s="314" t="s">
        <v>1845</v>
      </c>
      <c r="I53" s="276" t="s">
        <v>1761</v>
      </c>
      <c r="J53" s="276" t="s">
        <v>1761</v>
      </c>
      <c r="K53" s="276"/>
      <c r="L53" s="211" t="s">
        <v>1761</v>
      </c>
      <c r="M53" s="211" t="s">
        <v>1846</v>
      </c>
    </row>
    <row r="54" spans="1:14" ht="15" hidden="1" customHeight="1">
      <c r="A54" s="211" t="s">
        <v>1235</v>
      </c>
      <c r="B54" s="211"/>
      <c r="C54" s="211"/>
      <c r="D54" s="211" t="s">
        <v>1744</v>
      </c>
      <c r="E54" s="274" t="s">
        <v>1760</v>
      </c>
      <c r="F54" s="211" t="s">
        <v>16</v>
      </c>
      <c r="G54" s="211" t="s">
        <v>1196</v>
      </c>
      <c r="H54" s="276" t="s">
        <v>1847</v>
      </c>
      <c r="I54" s="276" t="s">
        <v>1848</v>
      </c>
      <c r="J54" s="276" t="s">
        <v>1849</v>
      </c>
      <c r="K54" s="276"/>
      <c r="L54" s="211" t="s">
        <v>1725</v>
      </c>
      <c r="M54" s="211" t="s">
        <v>1846</v>
      </c>
    </row>
    <row r="55" spans="1:14" ht="15" hidden="1" customHeight="1">
      <c r="A55" s="211" t="s">
        <v>1356</v>
      </c>
      <c r="B55" s="211"/>
      <c r="C55" s="211"/>
      <c r="D55" s="211" t="s">
        <v>1850</v>
      </c>
      <c r="E55" s="211" t="s">
        <v>1719</v>
      </c>
      <c r="F55" s="211" t="s">
        <v>16</v>
      </c>
      <c r="G55" s="211" t="s">
        <v>1118</v>
      </c>
      <c r="H55" s="276" t="s">
        <v>1851</v>
      </c>
      <c r="I55" s="276" t="s">
        <v>1852</v>
      </c>
      <c r="J55" s="276">
        <v>65000000</v>
      </c>
      <c r="K55" s="276"/>
      <c r="L55" s="211" t="s">
        <v>1725</v>
      </c>
      <c r="M55" s="211" t="s">
        <v>1853</v>
      </c>
    </row>
    <row r="56" spans="1:14" ht="30" hidden="1" customHeight="1">
      <c r="A56" s="211" t="s">
        <v>1854</v>
      </c>
      <c r="B56" s="211"/>
      <c r="C56" s="211"/>
      <c r="D56" s="211" t="s">
        <v>1744</v>
      </c>
      <c r="E56" s="211" t="s">
        <v>1719</v>
      </c>
      <c r="F56" s="211" t="s">
        <v>1827</v>
      </c>
      <c r="G56" s="211" t="s">
        <v>1196</v>
      </c>
      <c r="H56" s="276" t="s">
        <v>1847</v>
      </c>
      <c r="I56" s="276" t="s">
        <v>1855</v>
      </c>
      <c r="J56" s="276">
        <v>96500000</v>
      </c>
      <c r="K56" s="276"/>
      <c r="L56" s="211" t="s">
        <v>1725</v>
      </c>
      <c r="M56" s="315" t="s">
        <v>1853</v>
      </c>
    </row>
    <row r="57" spans="1:14" ht="45" hidden="1" customHeight="1">
      <c r="A57" s="211" t="s">
        <v>1856</v>
      </c>
      <c r="B57" s="211"/>
      <c r="C57" s="211"/>
      <c r="D57" s="211" t="s">
        <v>1718</v>
      </c>
      <c r="E57" s="211" t="s">
        <v>1719</v>
      </c>
      <c r="F57" s="211" t="s">
        <v>16</v>
      </c>
      <c r="G57" s="211" t="s">
        <v>1196</v>
      </c>
      <c r="H57" s="276" t="s">
        <v>1847</v>
      </c>
      <c r="I57" s="276" t="s">
        <v>1857</v>
      </c>
      <c r="J57" s="276">
        <v>99000000</v>
      </c>
      <c r="K57" s="276"/>
      <c r="L57" s="211" t="s">
        <v>1725</v>
      </c>
      <c r="M57" s="315" t="s">
        <v>1858</v>
      </c>
    </row>
    <row r="58" spans="1:14" ht="62.25" hidden="1" customHeight="1">
      <c r="A58" s="212" t="s">
        <v>1395</v>
      </c>
      <c r="B58" s="212"/>
      <c r="C58" s="212"/>
      <c r="D58" s="212" t="s">
        <v>1759</v>
      </c>
      <c r="E58" s="211" t="s">
        <v>1719</v>
      </c>
      <c r="F58" s="212" t="s">
        <v>16</v>
      </c>
      <c r="G58" s="212" t="s">
        <v>1118</v>
      </c>
      <c r="H58" s="316" t="s">
        <v>1845</v>
      </c>
      <c r="I58" s="272" t="s">
        <v>1761</v>
      </c>
      <c r="J58" s="272" t="s">
        <v>1761</v>
      </c>
      <c r="K58" s="272"/>
      <c r="L58" s="212" t="s">
        <v>1761</v>
      </c>
      <c r="M58" s="212" t="s">
        <v>1859</v>
      </c>
    </row>
    <row r="59" spans="1:14" ht="15" hidden="1" customHeight="1">
      <c r="A59" s="211" t="s">
        <v>1375</v>
      </c>
      <c r="B59" s="211"/>
      <c r="C59" s="211"/>
      <c r="D59" s="211" t="s">
        <v>1860</v>
      </c>
      <c r="E59" s="211" t="s">
        <v>1719</v>
      </c>
      <c r="F59" s="211" t="s">
        <v>1827</v>
      </c>
      <c r="G59" s="211" t="s">
        <v>1196</v>
      </c>
      <c r="H59" s="276" t="s">
        <v>1861</v>
      </c>
      <c r="I59" s="272" t="s">
        <v>1800</v>
      </c>
      <c r="J59" s="272" t="s">
        <v>1862</v>
      </c>
      <c r="K59" s="272"/>
      <c r="L59" s="212" t="s">
        <v>1725</v>
      </c>
      <c r="M59" s="212" t="s">
        <v>1863</v>
      </c>
    </row>
    <row r="60" spans="1:14" ht="15" hidden="1" customHeight="1">
      <c r="A60" s="211" t="s">
        <v>1230</v>
      </c>
      <c r="B60" s="284"/>
      <c r="C60" s="211"/>
      <c r="D60" s="211" t="s">
        <v>1744</v>
      </c>
      <c r="E60" s="211" t="s">
        <v>1719</v>
      </c>
      <c r="F60" s="211" t="s">
        <v>1827</v>
      </c>
      <c r="G60" s="211" t="s">
        <v>1196</v>
      </c>
      <c r="H60" s="276" t="s">
        <v>1847</v>
      </c>
      <c r="I60" s="276" t="s">
        <v>1864</v>
      </c>
      <c r="J60" s="276" t="s">
        <v>1865</v>
      </c>
      <c r="K60" s="317"/>
      <c r="L60" s="212" t="s">
        <v>1725</v>
      </c>
      <c r="M60" s="212" t="s">
        <v>1866</v>
      </c>
    </row>
    <row r="61" spans="1:14" ht="15" hidden="1" customHeight="1">
      <c r="A61" s="308" t="s">
        <v>62</v>
      </c>
      <c r="B61" s="566"/>
      <c r="C61" s="566"/>
      <c r="D61" s="211" t="s">
        <v>1744</v>
      </c>
      <c r="E61" s="211" t="s">
        <v>1719</v>
      </c>
      <c r="F61" s="211" t="s">
        <v>1827</v>
      </c>
      <c r="G61" s="211" t="s">
        <v>1196</v>
      </c>
      <c r="H61" s="276" t="s">
        <v>1847</v>
      </c>
      <c r="I61" s="276" t="s">
        <v>1867</v>
      </c>
      <c r="J61" s="276" t="s">
        <v>1868</v>
      </c>
      <c r="K61" s="568"/>
      <c r="L61" s="212" t="s">
        <v>1725</v>
      </c>
      <c r="M61" s="212" t="s">
        <v>1869</v>
      </c>
    </row>
    <row r="62" spans="1:14" ht="29.25" hidden="1" customHeight="1">
      <c r="A62" s="268" t="s">
        <v>1870</v>
      </c>
      <c r="B62" s="566"/>
      <c r="C62" s="566"/>
      <c r="D62" s="212" t="s">
        <v>1809</v>
      </c>
      <c r="E62" s="211" t="s">
        <v>1719</v>
      </c>
      <c r="F62" s="212" t="s">
        <v>1827</v>
      </c>
      <c r="G62" s="212" t="s">
        <v>1196</v>
      </c>
      <c r="H62" s="272">
        <v>20000000</v>
      </c>
      <c r="I62" s="272" t="s">
        <v>1807</v>
      </c>
      <c r="J62" s="272">
        <v>85000000</v>
      </c>
      <c r="K62" s="568"/>
      <c r="L62" s="212" t="s">
        <v>1725</v>
      </c>
      <c r="M62" s="315" t="s">
        <v>1871</v>
      </c>
    </row>
    <row r="63" spans="1:14" ht="15" hidden="1" customHeight="1">
      <c r="A63" s="268" t="s">
        <v>1872</v>
      </c>
      <c r="B63" s="566"/>
      <c r="C63" s="566"/>
      <c r="D63" s="212" t="s">
        <v>1860</v>
      </c>
      <c r="E63" s="211" t="s">
        <v>1719</v>
      </c>
      <c r="F63" s="212" t="s">
        <v>16</v>
      </c>
      <c r="G63" s="212" t="s">
        <v>1196</v>
      </c>
      <c r="H63" s="272">
        <v>19000000</v>
      </c>
      <c r="I63" s="272">
        <v>36000000</v>
      </c>
      <c r="J63" s="272">
        <v>89000000</v>
      </c>
      <c r="K63" s="568"/>
      <c r="L63" s="212" t="s">
        <v>1725</v>
      </c>
      <c r="M63" s="315" t="s">
        <v>1871</v>
      </c>
      <c r="N63" s="318">
        <v>44006</v>
      </c>
    </row>
    <row r="64" spans="1:14" ht="15" hidden="1" customHeight="1">
      <c r="A64" s="297" t="s">
        <v>1368</v>
      </c>
      <c r="B64" s="566"/>
      <c r="C64" s="566"/>
      <c r="D64" s="297" t="s">
        <v>1809</v>
      </c>
      <c r="E64" s="211" t="s">
        <v>1719</v>
      </c>
      <c r="F64" s="297" t="s">
        <v>1827</v>
      </c>
      <c r="G64" s="297" t="s">
        <v>1196</v>
      </c>
      <c r="H64" s="299">
        <v>20000000</v>
      </c>
      <c r="I64" s="299" t="s">
        <v>1873</v>
      </c>
      <c r="J64" s="299">
        <v>90000000</v>
      </c>
      <c r="K64" s="568"/>
      <c r="L64" s="297" t="s">
        <v>1725</v>
      </c>
      <c r="M64" s="297" t="s">
        <v>1874</v>
      </c>
    </row>
    <row r="65" spans="1:14" ht="15" hidden="1" customHeight="1">
      <c r="A65" s="211" t="s">
        <v>60</v>
      </c>
      <c r="B65" s="250"/>
      <c r="C65" s="250"/>
      <c r="D65" s="212" t="s">
        <v>1759</v>
      </c>
      <c r="E65" s="211" t="s">
        <v>1719</v>
      </c>
      <c r="F65" s="211" t="s">
        <v>1827</v>
      </c>
      <c r="G65" s="212" t="s">
        <v>1118</v>
      </c>
      <c r="H65" s="316" t="s">
        <v>1845</v>
      </c>
      <c r="I65" s="272" t="s">
        <v>1761</v>
      </c>
      <c r="J65" s="272" t="s">
        <v>1761</v>
      </c>
      <c r="K65" s="272"/>
      <c r="L65" s="211" t="s">
        <v>1725</v>
      </c>
      <c r="M65" s="211" t="s">
        <v>1874</v>
      </c>
    </row>
    <row r="66" spans="1:14" ht="30" hidden="1" customHeight="1">
      <c r="A66" s="212" t="s">
        <v>1875</v>
      </c>
      <c r="B66" s="250"/>
      <c r="C66" s="250"/>
      <c r="D66" s="212" t="s">
        <v>1860</v>
      </c>
      <c r="E66" s="211" t="s">
        <v>1719</v>
      </c>
      <c r="F66" s="212" t="s">
        <v>16</v>
      </c>
      <c r="G66" s="277" t="s">
        <v>1118</v>
      </c>
      <c r="H66" s="316">
        <v>17000000</v>
      </c>
      <c r="I66" s="272">
        <v>24000000</v>
      </c>
      <c r="J66" s="272">
        <v>73000000</v>
      </c>
      <c r="K66" s="252"/>
      <c r="L66" s="212" t="s">
        <v>1876</v>
      </c>
      <c r="M66" s="315" t="s">
        <v>1877</v>
      </c>
    </row>
    <row r="67" spans="1:14" ht="35.25" hidden="1" customHeight="1">
      <c r="A67" s="212" t="s">
        <v>1237</v>
      </c>
      <c r="B67" s="250"/>
      <c r="C67" s="250"/>
      <c r="D67" s="212" t="s">
        <v>1860</v>
      </c>
      <c r="E67" s="319" t="s">
        <v>1719</v>
      </c>
      <c r="F67" s="212" t="s">
        <v>16</v>
      </c>
      <c r="G67" s="212" t="s">
        <v>1196</v>
      </c>
      <c r="H67" s="272">
        <v>22500000</v>
      </c>
      <c r="I67" s="272">
        <v>49000000</v>
      </c>
      <c r="J67" s="272">
        <v>97000000</v>
      </c>
      <c r="K67" s="252"/>
      <c r="L67" s="212" t="s">
        <v>1725</v>
      </c>
      <c r="M67" s="315" t="s">
        <v>1878</v>
      </c>
      <c r="N67" s="320" t="s">
        <v>1879</v>
      </c>
    </row>
    <row r="68" spans="1:14" ht="30" hidden="1" customHeight="1">
      <c r="A68" s="304" t="s">
        <v>1880</v>
      </c>
      <c r="B68" s="566"/>
      <c r="C68" s="566"/>
      <c r="D68" s="304" t="s">
        <v>1809</v>
      </c>
      <c r="E68" s="311" t="s">
        <v>1719</v>
      </c>
      <c r="F68" s="304" t="s">
        <v>1827</v>
      </c>
      <c r="G68" s="304" t="s">
        <v>1196</v>
      </c>
      <c r="H68" s="307">
        <v>20000000</v>
      </c>
      <c r="I68" s="307">
        <v>16000000</v>
      </c>
      <c r="J68" s="307">
        <v>99500000</v>
      </c>
      <c r="K68" s="568"/>
      <c r="L68" s="304" t="s">
        <v>1876</v>
      </c>
      <c r="M68" s="321" t="s">
        <v>1881</v>
      </c>
    </row>
    <row r="69" spans="1:14" ht="30" hidden="1" customHeight="1">
      <c r="A69" s="212" t="s">
        <v>1389</v>
      </c>
      <c r="B69" s="322"/>
      <c r="C69" s="212"/>
      <c r="D69" s="212" t="s">
        <v>1759</v>
      </c>
      <c r="E69" s="319" t="s">
        <v>1719</v>
      </c>
      <c r="F69" s="212" t="s">
        <v>16</v>
      </c>
      <c r="G69" s="212" t="s">
        <v>1118</v>
      </c>
      <c r="H69" s="272">
        <v>18000000</v>
      </c>
      <c r="I69" s="272" t="s">
        <v>1761</v>
      </c>
      <c r="J69" s="272" t="s">
        <v>1761</v>
      </c>
      <c r="K69" s="323"/>
      <c r="L69" s="211" t="s">
        <v>1761</v>
      </c>
      <c r="M69" s="315" t="s">
        <v>1882</v>
      </c>
    </row>
    <row r="70" spans="1:14" ht="30" hidden="1" customHeight="1">
      <c r="A70" s="212" t="s">
        <v>1394</v>
      </c>
      <c r="B70" s="322"/>
      <c r="C70" s="212"/>
      <c r="D70" s="212" t="s">
        <v>1759</v>
      </c>
      <c r="E70" s="319" t="s">
        <v>1719</v>
      </c>
      <c r="F70" s="212" t="s">
        <v>16</v>
      </c>
      <c r="G70" s="212" t="s">
        <v>1118</v>
      </c>
      <c r="H70" s="272">
        <v>18000000</v>
      </c>
      <c r="I70" s="272" t="s">
        <v>1761</v>
      </c>
      <c r="J70" s="272" t="s">
        <v>1761</v>
      </c>
      <c r="K70" s="323"/>
      <c r="L70" s="211" t="s">
        <v>1761</v>
      </c>
      <c r="M70" s="315" t="s">
        <v>1883</v>
      </c>
    </row>
    <row r="71" spans="1:14" ht="15" hidden="1" customHeight="1">
      <c r="A71" s="211" t="s">
        <v>1396</v>
      </c>
      <c r="B71" s="284"/>
      <c r="C71" s="211"/>
      <c r="D71" s="211" t="s">
        <v>1759</v>
      </c>
      <c r="E71" s="319" t="s">
        <v>1719</v>
      </c>
      <c r="F71" s="211" t="s">
        <v>16</v>
      </c>
      <c r="G71" s="211" t="s">
        <v>1118</v>
      </c>
      <c r="H71" s="272">
        <v>17000000</v>
      </c>
      <c r="I71" s="276" t="s">
        <v>1761</v>
      </c>
      <c r="J71" s="276" t="s">
        <v>1761</v>
      </c>
      <c r="K71" s="317"/>
      <c r="L71" s="211" t="s">
        <v>1761</v>
      </c>
      <c r="M71" s="211" t="s">
        <v>1884</v>
      </c>
    </row>
    <row r="72" spans="1:14" s="149" customFormat="1" ht="36.75" hidden="1" customHeight="1">
      <c r="A72" s="212" t="s">
        <v>161</v>
      </c>
      <c r="B72" s="566"/>
      <c r="C72" s="566"/>
      <c r="D72" s="212" t="s">
        <v>1885</v>
      </c>
      <c r="E72" s="319" t="s">
        <v>1719</v>
      </c>
      <c r="F72" s="211" t="s">
        <v>16</v>
      </c>
      <c r="G72" s="211" t="s">
        <v>1118</v>
      </c>
      <c r="H72" s="272" t="s">
        <v>1930</v>
      </c>
      <c r="I72" s="538">
        <v>13500000</v>
      </c>
      <c r="J72" s="538">
        <v>89000000</v>
      </c>
      <c r="K72" s="568"/>
      <c r="L72" s="212" t="s">
        <v>1116</v>
      </c>
      <c r="M72" s="211" t="s">
        <v>2255</v>
      </c>
      <c r="N72" s="260"/>
    </row>
    <row r="73" spans="1:14" ht="27" hidden="1" customHeight="1">
      <c r="A73" s="211" t="s">
        <v>1315</v>
      </c>
      <c r="B73" s="566"/>
      <c r="C73" s="566"/>
      <c r="D73" s="211" t="s">
        <v>1718</v>
      </c>
      <c r="E73" s="319" t="s">
        <v>1719</v>
      </c>
      <c r="F73" s="211" t="s">
        <v>16</v>
      </c>
      <c r="G73" s="211" t="s">
        <v>1196</v>
      </c>
      <c r="H73" s="276">
        <v>17000000</v>
      </c>
      <c r="I73" s="276">
        <v>25500000</v>
      </c>
      <c r="J73" s="276">
        <v>98000000</v>
      </c>
      <c r="K73" s="568"/>
      <c r="L73" s="211" t="s">
        <v>1725</v>
      </c>
      <c r="M73" s="211" t="s">
        <v>1886</v>
      </c>
    </row>
    <row r="74" spans="1:14" ht="32.25" hidden="1" customHeight="1">
      <c r="A74" s="311" t="s">
        <v>1318</v>
      </c>
      <c r="B74" s="566"/>
      <c r="C74" s="566"/>
      <c r="D74" s="311" t="s">
        <v>1718</v>
      </c>
      <c r="E74" s="324" t="s">
        <v>1719</v>
      </c>
      <c r="F74" s="311" t="s">
        <v>16</v>
      </c>
      <c r="G74" s="311" t="s">
        <v>1196</v>
      </c>
      <c r="H74" s="312">
        <v>18000000</v>
      </c>
      <c r="I74" s="312">
        <v>17600000</v>
      </c>
      <c r="J74" s="312">
        <v>90000000</v>
      </c>
      <c r="K74" s="568"/>
      <c r="L74" s="311" t="s">
        <v>1725</v>
      </c>
      <c r="M74" s="311" t="s">
        <v>1887</v>
      </c>
    </row>
    <row r="75" spans="1:14" ht="29.25" hidden="1" customHeight="1">
      <c r="A75" s="211" t="s">
        <v>1254</v>
      </c>
      <c r="B75" s="211"/>
      <c r="C75" s="211"/>
      <c r="D75" s="211" t="s">
        <v>1744</v>
      </c>
      <c r="E75" s="324" t="s">
        <v>1719</v>
      </c>
      <c r="F75" s="211" t="s">
        <v>16</v>
      </c>
      <c r="G75" s="211" t="s">
        <v>1196</v>
      </c>
      <c r="H75" s="276">
        <v>20000000</v>
      </c>
      <c r="I75" s="276">
        <v>35000000</v>
      </c>
      <c r="J75" s="276">
        <v>99000000</v>
      </c>
      <c r="K75" s="276"/>
      <c r="L75" s="211" t="s">
        <v>1725</v>
      </c>
      <c r="M75" s="211" t="s">
        <v>1888</v>
      </c>
    </row>
    <row r="76" spans="1:14" ht="27" hidden="1" customHeight="1">
      <c r="A76" s="268" t="s">
        <v>1872</v>
      </c>
      <c r="B76" s="322"/>
      <c r="C76" s="325"/>
      <c r="D76" s="212" t="s">
        <v>1860</v>
      </c>
      <c r="E76" s="212" t="s">
        <v>1719</v>
      </c>
      <c r="F76" s="212" t="s">
        <v>16</v>
      </c>
      <c r="G76" s="212" t="s">
        <v>1196</v>
      </c>
      <c r="H76" s="272">
        <v>19000000</v>
      </c>
      <c r="I76" s="272">
        <v>36000000</v>
      </c>
      <c r="J76" s="272">
        <v>89000000</v>
      </c>
      <c r="K76" s="326"/>
      <c r="L76" s="212" t="s">
        <v>1725</v>
      </c>
      <c r="M76" s="280" t="s">
        <v>1889</v>
      </c>
    </row>
    <row r="77" spans="1:14" ht="36.75" hidden="1" customHeight="1">
      <c r="A77" s="212" t="s">
        <v>1360</v>
      </c>
      <c r="B77" s="322"/>
      <c r="C77" s="212"/>
      <c r="D77" s="212" t="s">
        <v>1890</v>
      </c>
      <c r="E77" s="319" t="s">
        <v>1719</v>
      </c>
      <c r="F77" s="212" t="s">
        <v>16</v>
      </c>
      <c r="G77" s="212" t="s">
        <v>1118</v>
      </c>
      <c r="H77" s="272">
        <v>20000000</v>
      </c>
      <c r="I77" s="272">
        <v>12500000</v>
      </c>
      <c r="J77" s="272">
        <v>85500000</v>
      </c>
      <c r="K77" s="323"/>
      <c r="L77" s="212" t="s">
        <v>1725</v>
      </c>
      <c r="M77" s="212" t="s">
        <v>1891</v>
      </c>
    </row>
    <row r="78" spans="1:14" ht="24.75" hidden="1" customHeight="1">
      <c r="A78" s="212" t="s">
        <v>1319</v>
      </c>
      <c r="B78" s="567"/>
      <c r="C78" s="567"/>
      <c r="D78" s="212" t="s">
        <v>1765</v>
      </c>
      <c r="E78" s="212" t="s">
        <v>1892</v>
      </c>
      <c r="F78" s="212" t="s">
        <v>16</v>
      </c>
      <c r="G78" s="212" t="s">
        <v>1196</v>
      </c>
      <c r="H78" s="272">
        <v>20000000</v>
      </c>
      <c r="I78" s="272">
        <v>15600000</v>
      </c>
      <c r="J78" s="272">
        <v>90600000</v>
      </c>
      <c r="K78" s="569"/>
      <c r="L78" s="212" t="s">
        <v>1725</v>
      </c>
      <c r="M78" s="212" t="s">
        <v>1893</v>
      </c>
    </row>
    <row r="79" spans="1:14" ht="39.75" hidden="1" customHeight="1">
      <c r="A79" s="212" t="s">
        <v>1320</v>
      </c>
      <c r="B79" s="567"/>
      <c r="C79" s="567"/>
      <c r="D79" s="212" t="s">
        <v>1718</v>
      </c>
      <c r="E79" s="212" t="s">
        <v>1719</v>
      </c>
      <c r="F79" s="212" t="s">
        <v>16</v>
      </c>
      <c r="G79" s="212" t="s">
        <v>1196</v>
      </c>
      <c r="H79" s="272">
        <v>19000000</v>
      </c>
      <c r="I79" s="272">
        <v>7500000</v>
      </c>
      <c r="J79" s="272">
        <v>84000000</v>
      </c>
      <c r="K79" s="569"/>
      <c r="L79" s="212" t="s">
        <v>1725</v>
      </c>
      <c r="M79" s="212" t="s">
        <v>1893</v>
      </c>
    </row>
    <row r="80" spans="1:14" ht="24.75" hidden="1" customHeight="1">
      <c r="A80" s="211" t="s">
        <v>1323</v>
      </c>
      <c r="D80" s="212" t="s">
        <v>1765</v>
      </c>
      <c r="E80" s="212" t="s">
        <v>1719</v>
      </c>
      <c r="F80" s="212" t="s">
        <v>16</v>
      </c>
      <c r="G80" s="212" t="s">
        <v>1196</v>
      </c>
      <c r="H80" s="272">
        <v>19000000</v>
      </c>
      <c r="I80" s="276">
        <v>12900000</v>
      </c>
      <c r="J80" s="276">
        <v>89900000</v>
      </c>
      <c r="L80" s="212" t="s">
        <v>1725</v>
      </c>
      <c r="M80" s="212" t="s">
        <v>1894</v>
      </c>
    </row>
    <row r="81" spans="1:14" ht="29.25" hidden="1" customHeight="1">
      <c r="A81" s="211" t="s">
        <v>1361</v>
      </c>
      <c r="B81" s="327"/>
      <c r="C81" s="177"/>
      <c r="D81" s="212" t="s">
        <v>1890</v>
      </c>
      <c r="E81" s="212" t="s">
        <v>1719</v>
      </c>
      <c r="F81" s="212" t="s">
        <v>16</v>
      </c>
      <c r="G81" s="211" t="s">
        <v>1118</v>
      </c>
      <c r="H81" s="276">
        <v>17000000</v>
      </c>
      <c r="I81" s="276">
        <v>15000000</v>
      </c>
      <c r="J81" s="276">
        <v>85000000</v>
      </c>
      <c r="K81" s="328"/>
      <c r="L81" s="212" t="s">
        <v>1725</v>
      </c>
      <c r="M81" s="212" t="s">
        <v>1895</v>
      </c>
    </row>
    <row r="82" spans="1:14" ht="30" hidden="1" customHeight="1">
      <c r="A82" s="329" t="s">
        <v>1380</v>
      </c>
      <c r="B82" s="177"/>
      <c r="C82" s="177"/>
      <c r="D82" s="211" t="s">
        <v>1806</v>
      </c>
      <c r="E82" s="212" t="s">
        <v>1719</v>
      </c>
      <c r="F82" s="212" t="s">
        <v>16</v>
      </c>
      <c r="G82" s="212" t="s">
        <v>1196</v>
      </c>
      <c r="H82" s="276">
        <v>24000000</v>
      </c>
      <c r="I82" s="276">
        <v>30000000</v>
      </c>
      <c r="J82" s="330">
        <v>99000000</v>
      </c>
      <c r="K82" s="330"/>
      <c r="L82" s="212" t="s">
        <v>1725</v>
      </c>
      <c r="M82" s="331" t="s">
        <v>1896</v>
      </c>
    </row>
    <row r="83" spans="1:14" ht="21.75" hidden="1" customHeight="1">
      <c r="A83" s="211" t="s">
        <v>1325</v>
      </c>
      <c r="B83" s="567"/>
      <c r="C83" s="567"/>
      <c r="D83" s="211" t="s">
        <v>1759</v>
      </c>
      <c r="E83" s="332" t="s">
        <v>1719</v>
      </c>
      <c r="F83" s="211" t="s">
        <v>16</v>
      </c>
      <c r="G83" s="211" t="s">
        <v>1196</v>
      </c>
      <c r="H83" s="276">
        <v>40000000</v>
      </c>
      <c r="I83" s="302" t="s">
        <v>1218</v>
      </c>
      <c r="J83" s="276">
        <v>95000000</v>
      </c>
      <c r="K83" s="569"/>
      <c r="L83" s="211" t="s">
        <v>1725</v>
      </c>
      <c r="M83" s="211" t="s">
        <v>1897</v>
      </c>
    </row>
    <row r="84" spans="1:14" ht="31.5" hidden="1" customHeight="1">
      <c r="A84" s="211" t="s">
        <v>1404</v>
      </c>
      <c r="B84" s="567"/>
      <c r="C84" s="567"/>
      <c r="D84" s="211" t="s">
        <v>1759</v>
      </c>
      <c r="E84" s="332" t="s">
        <v>1719</v>
      </c>
      <c r="F84" s="211" t="s">
        <v>16</v>
      </c>
      <c r="G84" s="211" t="s">
        <v>1118</v>
      </c>
      <c r="H84" s="276">
        <v>18500000</v>
      </c>
      <c r="I84" s="302" t="s">
        <v>1218</v>
      </c>
      <c r="J84" s="276" t="s">
        <v>1761</v>
      </c>
      <c r="K84" s="569"/>
      <c r="L84" s="211" t="s">
        <v>1761</v>
      </c>
      <c r="M84" s="211" t="s">
        <v>1898</v>
      </c>
    </row>
    <row r="85" spans="1:14" s="250" customFormat="1" ht="39.75" hidden="1" customHeight="1">
      <c r="A85" s="311" t="s">
        <v>1326</v>
      </c>
      <c r="B85" s="566"/>
      <c r="C85" s="566"/>
      <c r="D85" s="311" t="s">
        <v>1765</v>
      </c>
      <c r="E85" s="332" t="s">
        <v>1719</v>
      </c>
      <c r="F85" s="311" t="s">
        <v>16</v>
      </c>
      <c r="G85" s="311" t="s">
        <v>1196</v>
      </c>
      <c r="H85" s="312">
        <v>19000000</v>
      </c>
      <c r="I85" s="312">
        <v>26500000</v>
      </c>
      <c r="J85" s="312">
        <v>96500000</v>
      </c>
      <c r="K85" s="568"/>
      <c r="L85" s="311" t="s">
        <v>1725</v>
      </c>
      <c r="M85" s="311" t="s">
        <v>1899</v>
      </c>
      <c r="N85" s="255"/>
    </row>
    <row r="86" spans="1:14" ht="30" hidden="1" customHeight="1">
      <c r="A86" s="212" t="s">
        <v>1875</v>
      </c>
      <c r="B86" s="211"/>
      <c r="C86" s="211"/>
      <c r="D86" s="212" t="s">
        <v>1860</v>
      </c>
      <c r="E86" s="319" t="s">
        <v>1719</v>
      </c>
      <c r="F86" s="212" t="s">
        <v>16</v>
      </c>
      <c r="G86" s="277" t="s">
        <v>1118</v>
      </c>
      <c r="H86" s="316">
        <v>17000000</v>
      </c>
      <c r="I86" s="272">
        <v>18000000</v>
      </c>
      <c r="J86" s="272">
        <v>69000000</v>
      </c>
      <c r="K86" s="276"/>
      <c r="L86" s="212" t="s">
        <v>1725</v>
      </c>
      <c r="M86" s="315" t="s">
        <v>1900</v>
      </c>
    </row>
    <row r="87" spans="1:14" ht="35.25" hidden="1" customHeight="1">
      <c r="A87" s="211" t="s">
        <v>1390</v>
      </c>
      <c r="B87" s="211"/>
      <c r="C87" s="211"/>
      <c r="D87" s="211" t="s">
        <v>1759</v>
      </c>
      <c r="E87" s="319" t="s">
        <v>1719</v>
      </c>
      <c r="F87" s="212" t="s">
        <v>16</v>
      </c>
      <c r="G87" s="277" t="s">
        <v>1118</v>
      </c>
      <c r="H87" s="276" t="s">
        <v>1901</v>
      </c>
      <c r="I87" s="276" t="s">
        <v>1761</v>
      </c>
      <c r="J87" s="276" t="s">
        <v>1761</v>
      </c>
      <c r="K87" s="276"/>
      <c r="L87" s="211" t="s">
        <v>1761</v>
      </c>
      <c r="M87" s="315" t="s">
        <v>1902</v>
      </c>
    </row>
    <row r="88" spans="1:14" ht="32.25" hidden="1" customHeight="1">
      <c r="A88" s="211" t="s">
        <v>1691</v>
      </c>
      <c r="B88" s="211"/>
      <c r="C88" s="211"/>
      <c r="D88" s="211" t="s">
        <v>1718</v>
      </c>
      <c r="E88" s="319" t="s">
        <v>1719</v>
      </c>
      <c r="F88" s="211" t="s">
        <v>16</v>
      </c>
      <c r="G88" s="211" t="s">
        <v>1196</v>
      </c>
      <c r="H88" s="276">
        <v>20000000</v>
      </c>
      <c r="I88" s="276">
        <v>15400000</v>
      </c>
      <c r="J88" s="276">
        <v>90400000</v>
      </c>
      <c r="K88" s="276"/>
      <c r="L88" s="212" t="s">
        <v>1725</v>
      </c>
      <c r="M88" s="211" t="s">
        <v>1903</v>
      </c>
    </row>
    <row r="89" spans="1:14" ht="25.5" hidden="1" customHeight="1">
      <c r="A89" s="211" t="s">
        <v>1385</v>
      </c>
      <c r="B89" s="211"/>
      <c r="C89" s="211"/>
      <c r="D89" s="211" t="s">
        <v>1718</v>
      </c>
      <c r="E89" s="319" t="s">
        <v>1719</v>
      </c>
      <c r="F89" s="211" t="s">
        <v>16</v>
      </c>
      <c r="G89" s="277" t="s">
        <v>1118</v>
      </c>
      <c r="H89" s="276">
        <v>18000000</v>
      </c>
      <c r="I89" s="276">
        <v>8500000</v>
      </c>
      <c r="J89" s="276">
        <v>89000000</v>
      </c>
      <c r="K89" s="276"/>
      <c r="L89" s="211" t="s">
        <v>1725</v>
      </c>
      <c r="M89" s="211" t="s">
        <v>1904</v>
      </c>
    </row>
    <row r="90" spans="1:14" ht="27.75" hidden="1" customHeight="1">
      <c r="A90" s="211" t="s">
        <v>1384</v>
      </c>
      <c r="B90" s="211"/>
      <c r="C90" s="211"/>
      <c r="D90" s="211" t="s">
        <v>1718</v>
      </c>
      <c r="E90" s="319" t="s">
        <v>1719</v>
      </c>
      <c r="F90" s="211" t="s">
        <v>16</v>
      </c>
      <c r="G90" s="277" t="s">
        <v>1118</v>
      </c>
      <c r="H90" s="276">
        <v>19000000</v>
      </c>
      <c r="I90" s="276">
        <v>3500000</v>
      </c>
      <c r="J90" s="276">
        <v>96000000</v>
      </c>
      <c r="K90" s="276"/>
      <c r="L90" s="211" t="s">
        <v>1725</v>
      </c>
      <c r="M90" s="211" t="s">
        <v>1905</v>
      </c>
    </row>
    <row r="91" spans="1:14" s="250" customFormat="1" ht="33" hidden="1" customHeight="1">
      <c r="A91" s="211" t="s">
        <v>1906</v>
      </c>
      <c r="B91" s="566"/>
      <c r="C91" s="566"/>
      <c r="D91" s="211" t="s">
        <v>1733</v>
      </c>
      <c r="E91" s="319" t="s">
        <v>1719</v>
      </c>
      <c r="F91" s="211" t="s">
        <v>16</v>
      </c>
      <c r="G91" s="211" t="s">
        <v>1196</v>
      </c>
      <c r="H91" s="276">
        <v>20000000</v>
      </c>
      <c r="I91" s="276">
        <v>21000000</v>
      </c>
      <c r="J91" s="276">
        <v>99000000</v>
      </c>
      <c r="K91" s="568"/>
      <c r="L91" s="211" t="s">
        <v>1725</v>
      </c>
      <c r="M91" s="211" t="s">
        <v>1907</v>
      </c>
      <c r="N91" s="255"/>
    </row>
    <row r="92" spans="1:14" s="250" customFormat="1" ht="30.75" hidden="1" customHeight="1">
      <c r="A92" s="211" t="s">
        <v>1347</v>
      </c>
      <c r="B92" s="566"/>
      <c r="C92" s="566"/>
      <c r="D92" s="211" t="s">
        <v>1718</v>
      </c>
      <c r="E92" s="319" t="s">
        <v>1719</v>
      </c>
      <c r="F92" s="211" t="s">
        <v>3</v>
      </c>
      <c r="G92" s="211" t="s">
        <v>1196</v>
      </c>
      <c r="H92" s="276">
        <v>18000000</v>
      </c>
      <c r="I92" s="276">
        <v>13500000</v>
      </c>
      <c r="J92" s="276">
        <v>88500000</v>
      </c>
      <c r="K92" s="568"/>
      <c r="L92" s="211" t="s">
        <v>1725</v>
      </c>
      <c r="M92" s="211" t="s">
        <v>1908</v>
      </c>
      <c r="N92" s="255"/>
    </row>
    <row r="93" spans="1:14" ht="27.75" hidden="1" customHeight="1">
      <c r="A93" s="211" t="s">
        <v>1909</v>
      </c>
      <c r="B93" s="567"/>
      <c r="C93" s="567"/>
      <c r="D93" s="211" t="s">
        <v>1718</v>
      </c>
      <c r="E93" s="319" t="s">
        <v>1719</v>
      </c>
      <c r="F93" s="211" t="s">
        <v>16</v>
      </c>
      <c r="G93" s="211" t="s">
        <v>1118</v>
      </c>
      <c r="H93" s="276">
        <v>17000000</v>
      </c>
      <c r="I93" s="276">
        <v>6500000</v>
      </c>
      <c r="J93" s="276">
        <v>85000000</v>
      </c>
      <c r="K93" s="569"/>
      <c r="L93" s="211" t="s">
        <v>1725</v>
      </c>
      <c r="M93" s="211" t="s">
        <v>1910</v>
      </c>
    </row>
    <row r="94" spans="1:14" ht="36.75" hidden="1" customHeight="1">
      <c r="A94" s="211" t="s">
        <v>49</v>
      </c>
      <c r="B94" s="211"/>
      <c r="C94" s="211"/>
      <c r="D94" s="211" t="s">
        <v>1759</v>
      </c>
      <c r="E94" s="319" t="s">
        <v>1719</v>
      </c>
      <c r="F94" s="212" t="s">
        <v>16</v>
      </c>
      <c r="G94" s="277" t="s">
        <v>1118</v>
      </c>
      <c r="H94" s="276" t="s">
        <v>1911</v>
      </c>
      <c r="I94" s="276" t="s">
        <v>1761</v>
      </c>
      <c r="J94" s="276" t="s">
        <v>1761</v>
      </c>
      <c r="K94" s="276"/>
      <c r="L94" s="211" t="s">
        <v>1761</v>
      </c>
      <c r="M94" s="315" t="s">
        <v>1912</v>
      </c>
    </row>
    <row r="95" spans="1:14" ht="32.25" hidden="1" customHeight="1">
      <c r="A95" s="211" t="s">
        <v>1389</v>
      </c>
      <c r="B95" s="284"/>
      <c r="C95" s="211"/>
      <c r="D95" s="211" t="s">
        <v>1759</v>
      </c>
      <c r="E95" s="319" t="s">
        <v>1719</v>
      </c>
      <c r="F95" s="212" t="s">
        <v>16</v>
      </c>
      <c r="G95" s="277" t="s">
        <v>1118</v>
      </c>
      <c r="H95" s="276" t="s">
        <v>1911</v>
      </c>
      <c r="I95" s="276" t="s">
        <v>1761</v>
      </c>
      <c r="J95" s="276" t="s">
        <v>1761</v>
      </c>
      <c r="K95" s="317"/>
      <c r="L95" s="211" t="s">
        <v>1761</v>
      </c>
      <c r="M95" s="315" t="s">
        <v>1913</v>
      </c>
    </row>
    <row r="96" spans="1:14" ht="33" hidden="1" customHeight="1">
      <c r="A96" s="211" t="s">
        <v>1397</v>
      </c>
      <c r="B96" s="566"/>
      <c r="C96" s="566"/>
      <c r="D96" s="211" t="s">
        <v>1759</v>
      </c>
      <c r="E96" s="319" t="s">
        <v>1719</v>
      </c>
      <c r="F96" s="212" t="s">
        <v>3</v>
      </c>
      <c r="G96" s="277" t="s">
        <v>1118</v>
      </c>
      <c r="H96" s="276" t="s">
        <v>1914</v>
      </c>
      <c r="I96" s="276" t="s">
        <v>1761</v>
      </c>
      <c r="J96" s="276" t="s">
        <v>1761</v>
      </c>
      <c r="K96" s="317"/>
      <c r="L96" s="211" t="s">
        <v>1761</v>
      </c>
      <c r="M96" s="315" t="s">
        <v>1915</v>
      </c>
    </row>
    <row r="97" spans="1:14" ht="30" hidden="1">
      <c r="A97" s="311" t="s">
        <v>1916</v>
      </c>
      <c r="B97" s="333" t="s">
        <v>1759</v>
      </c>
      <c r="C97" s="332" t="s">
        <v>1719</v>
      </c>
      <c r="D97" s="311" t="s">
        <v>1759</v>
      </c>
      <c r="E97" s="319" t="s">
        <v>1719</v>
      </c>
      <c r="F97" s="311" t="s">
        <v>16</v>
      </c>
      <c r="G97" s="311" t="s">
        <v>1118</v>
      </c>
      <c r="H97" s="312">
        <v>18500000</v>
      </c>
      <c r="I97" s="312" t="s">
        <v>1761</v>
      </c>
      <c r="J97" s="312" t="s">
        <v>1761</v>
      </c>
      <c r="K97" s="569"/>
      <c r="L97" s="311" t="s">
        <v>1761</v>
      </c>
      <c r="M97" s="304" t="s">
        <v>1917</v>
      </c>
    </row>
    <row r="98" spans="1:14" ht="29.25" hidden="1" customHeight="1">
      <c r="A98" s="211" t="s">
        <v>52</v>
      </c>
      <c r="B98" s="177"/>
      <c r="C98" s="177"/>
      <c r="D98" s="211" t="s">
        <v>1918</v>
      </c>
      <c r="E98" s="263" t="s">
        <v>1919</v>
      </c>
      <c r="F98" s="211" t="s">
        <v>16</v>
      </c>
      <c r="G98" s="211" t="s">
        <v>1196</v>
      </c>
      <c r="H98" s="276" t="s">
        <v>1920</v>
      </c>
      <c r="I98" s="276" t="s">
        <v>1921</v>
      </c>
      <c r="J98" s="276" t="s">
        <v>1922</v>
      </c>
      <c r="K98" s="330"/>
      <c r="L98" s="211" t="s">
        <v>1725</v>
      </c>
      <c r="M98" s="211" t="s">
        <v>1923</v>
      </c>
    </row>
    <row r="99" spans="1:14" s="250" customFormat="1" ht="30.75" hidden="1" customHeight="1">
      <c r="A99" s="211" t="s">
        <v>1327</v>
      </c>
      <c r="B99" s="211"/>
      <c r="C99" s="211"/>
      <c r="D99" s="211" t="s">
        <v>1718</v>
      </c>
      <c r="E99" s="319" t="s">
        <v>1719</v>
      </c>
      <c r="F99" s="211" t="s">
        <v>16</v>
      </c>
      <c r="G99" s="211" t="s">
        <v>1196</v>
      </c>
      <c r="H99" s="276">
        <v>20000000</v>
      </c>
      <c r="I99" s="276">
        <v>20500000</v>
      </c>
      <c r="J99" s="276">
        <v>95000000</v>
      </c>
      <c r="K99" s="276"/>
      <c r="L99" s="211" t="s">
        <v>1725</v>
      </c>
      <c r="M99" s="211" t="s">
        <v>1924</v>
      </c>
      <c r="N99" s="255"/>
    </row>
    <row r="100" spans="1:14" s="250" customFormat="1" ht="29.25" hidden="1" customHeight="1">
      <c r="A100" s="211" t="s">
        <v>1399</v>
      </c>
      <c r="B100" s="284"/>
      <c r="C100" s="285"/>
      <c r="D100" s="211" t="s">
        <v>1759</v>
      </c>
      <c r="E100" s="319" t="s">
        <v>1719</v>
      </c>
      <c r="F100" s="211" t="s">
        <v>3</v>
      </c>
      <c r="G100" s="211" t="s">
        <v>1118</v>
      </c>
      <c r="H100" s="272" t="s">
        <v>1925</v>
      </c>
      <c r="I100" s="276" t="s">
        <v>1761</v>
      </c>
      <c r="J100" s="276" t="s">
        <v>1761</v>
      </c>
      <c r="K100" s="288"/>
      <c r="L100" s="211" t="s">
        <v>1761</v>
      </c>
      <c r="M100" s="284" t="s">
        <v>1926</v>
      </c>
      <c r="N100" s="255"/>
    </row>
    <row r="101" spans="1:14" ht="30" hidden="1">
      <c r="A101" s="300" t="s">
        <v>47</v>
      </c>
      <c r="B101" s="212"/>
      <c r="C101" s="212"/>
      <c r="D101" s="300" t="s">
        <v>1718</v>
      </c>
      <c r="E101" s="264" t="s">
        <v>1927</v>
      </c>
      <c r="F101" s="300" t="s">
        <v>16</v>
      </c>
      <c r="G101" s="300" t="s">
        <v>1118</v>
      </c>
      <c r="H101" s="298" t="s">
        <v>1928</v>
      </c>
      <c r="I101" s="298">
        <v>10000000</v>
      </c>
      <c r="J101" s="298">
        <v>99000000</v>
      </c>
      <c r="K101" s="272"/>
      <c r="L101" s="300" t="s">
        <v>1725</v>
      </c>
      <c r="M101" s="212" t="s">
        <v>1929</v>
      </c>
    </row>
    <row r="102" spans="1:14" ht="45" hidden="1">
      <c r="A102" s="212" t="s">
        <v>28</v>
      </c>
      <c r="B102" s="212"/>
      <c r="C102" s="212"/>
      <c r="D102" s="212" t="s">
        <v>1718</v>
      </c>
      <c r="E102" s="212" t="s">
        <v>1927</v>
      </c>
      <c r="F102" s="212" t="s">
        <v>16</v>
      </c>
      <c r="G102" s="212" t="s">
        <v>1118</v>
      </c>
      <c r="H102" s="272" t="s">
        <v>1930</v>
      </c>
      <c r="I102" s="272">
        <v>11000000</v>
      </c>
      <c r="J102" s="272">
        <v>93000000</v>
      </c>
      <c r="K102" s="272"/>
      <c r="L102" s="212"/>
      <c r="M102" s="212" t="s">
        <v>1931</v>
      </c>
    </row>
    <row r="103" spans="1:14" hidden="1">
      <c r="A103" s="211" t="s">
        <v>23</v>
      </c>
      <c r="B103" s="211"/>
      <c r="C103" s="211"/>
      <c r="D103" s="211" t="s">
        <v>1718</v>
      </c>
      <c r="E103" s="211" t="s">
        <v>1927</v>
      </c>
      <c r="F103" s="211" t="s">
        <v>16</v>
      </c>
      <c r="G103" s="211" t="s">
        <v>1118</v>
      </c>
      <c r="H103" s="276" t="s">
        <v>1932</v>
      </c>
      <c r="I103" s="302">
        <v>6000000</v>
      </c>
      <c r="J103" s="302">
        <v>71000000</v>
      </c>
      <c r="K103" s="276"/>
      <c r="L103" s="211"/>
      <c r="M103" s="211" t="s">
        <v>1933</v>
      </c>
    </row>
    <row r="104" spans="1:14" ht="30" hidden="1">
      <c r="A104" s="211" t="s">
        <v>1</v>
      </c>
      <c r="B104" s="567"/>
      <c r="C104" s="567"/>
      <c r="D104" s="211" t="s">
        <v>1759</v>
      </c>
      <c r="E104" s="211" t="s">
        <v>1934</v>
      </c>
      <c r="F104" s="211" t="s">
        <v>3</v>
      </c>
      <c r="G104" s="211" t="s">
        <v>1118</v>
      </c>
      <c r="H104" s="272" t="s">
        <v>2173</v>
      </c>
      <c r="I104" s="276" t="s">
        <v>1761</v>
      </c>
      <c r="J104" s="276" t="s">
        <v>1761</v>
      </c>
      <c r="K104" s="569"/>
      <c r="L104" s="212" t="s">
        <v>1116</v>
      </c>
      <c r="M104" s="211" t="s">
        <v>2174</v>
      </c>
    </row>
    <row r="105" spans="1:14" ht="30" hidden="1">
      <c r="A105" s="211" t="s">
        <v>48</v>
      </c>
      <c r="B105" s="567"/>
      <c r="C105" s="567"/>
      <c r="D105" s="211" t="s">
        <v>1759</v>
      </c>
      <c r="E105" s="211" t="s">
        <v>1934</v>
      </c>
      <c r="F105" s="211" t="s">
        <v>16</v>
      </c>
      <c r="G105" s="211" t="s">
        <v>1118</v>
      </c>
      <c r="H105" s="272" t="s">
        <v>1930</v>
      </c>
      <c r="I105" s="276" t="s">
        <v>1761</v>
      </c>
      <c r="J105" s="276" t="s">
        <v>1761</v>
      </c>
      <c r="K105" s="569"/>
      <c r="L105" s="211" t="s">
        <v>1761</v>
      </c>
      <c r="M105" s="211" t="s">
        <v>1935</v>
      </c>
    </row>
    <row r="106" spans="1:14" ht="30" hidden="1">
      <c r="A106" s="212" t="s">
        <v>883</v>
      </c>
      <c r="B106" s="212"/>
      <c r="C106" s="212"/>
      <c r="D106" s="212" t="s">
        <v>1718</v>
      </c>
      <c r="E106" s="212"/>
      <c r="F106" s="212" t="s">
        <v>1423</v>
      </c>
      <c r="G106" s="212" t="s">
        <v>1196</v>
      </c>
      <c r="H106" s="272" t="s">
        <v>1945</v>
      </c>
      <c r="I106" s="272" t="s">
        <v>1766</v>
      </c>
      <c r="J106" s="272" t="s">
        <v>2112</v>
      </c>
      <c r="K106" s="272"/>
      <c r="L106" s="212" t="s">
        <v>1116</v>
      </c>
      <c r="M106" s="212" t="s">
        <v>2111</v>
      </c>
    </row>
    <row r="107" spans="1:14" ht="30" hidden="1">
      <c r="A107" s="212" t="s">
        <v>874</v>
      </c>
      <c r="B107" s="212"/>
      <c r="C107" s="212"/>
      <c r="D107" s="212" t="s">
        <v>1718</v>
      </c>
      <c r="E107" s="212"/>
      <c r="F107" s="212" t="s">
        <v>1423</v>
      </c>
      <c r="G107" s="212" t="s">
        <v>1196</v>
      </c>
      <c r="H107" s="272" t="s">
        <v>1946</v>
      </c>
      <c r="I107" s="272" t="s">
        <v>1803</v>
      </c>
      <c r="J107" s="272" t="s">
        <v>2119</v>
      </c>
      <c r="K107" s="272"/>
      <c r="L107" s="212" t="s">
        <v>1116</v>
      </c>
      <c r="M107" s="212" t="s">
        <v>2120</v>
      </c>
    </row>
    <row r="108" spans="1:14" ht="30" hidden="1">
      <c r="A108" s="212" t="s">
        <v>1074</v>
      </c>
      <c r="B108" s="212"/>
      <c r="C108" s="212"/>
      <c r="D108" s="212" t="s">
        <v>1759</v>
      </c>
      <c r="E108" s="212"/>
      <c r="F108" s="212" t="s">
        <v>16</v>
      </c>
      <c r="G108" s="212" t="s">
        <v>1118</v>
      </c>
      <c r="H108" s="272" t="s">
        <v>1947</v>
      </c>
      <c r="I108" s="272" t="s">
        <v>1761</v>
      </c>
      <c r="J108" s="272" t="s">
        <v>1761</v>
      </c>
      <c r="K108" s="272"/>
      <c r="L108" s="212" t="s">
        <v>1725</v>
      </c>
      <c r="M108" s="212" t="s">
        <v>1948</v>
      </c>
    </row>
    <row r="109" spans="1:14" ht="30" hidden="1">
      <c r="A109" s="212" t="s">
        <v>2085</v>
      </c>
      <c r="B109" s="212"/>
      <c r="C109" s="212"/>
      <c r="D109" s="212" t="s">
        <v>1812</v>
      </c>
      <c r="E109" s="212"/>
      <c r="F109" s="212" t="s">
        <v>1423</v>
      </c>
      <c r="G109" s="212" t="s">
        <v>1196</v>
      </c>
      <c r="H109" s="272" t="s">
        <v>2172</v>
      </c>
      <c r="I109" s="272" t="s">
        <v>2194</v>
      </c>
      <c r="J109" s="272" t="s">
        <v>2195</v>
      </c>
      <c r="K109" s="272"/>
      <c r="L109" s="212" t="s">
        <v>2193</v>
      </c>
      <c r="M109" s="212" t="s">
        <v>2196</v>
      </c>
    </row>
    <row r="110" spans="1:14" ht="30" hidden="1">
      <c r="A110" s="311" t="s">
        <v>891</v>
      </c>
      <c r="B110" s="311"/>
      <c r="C110" s="311"/>
      <c r="D110" s="311" t="s">
        <v>1765</v>
      </c>
      <c r="E110" s="570"/>
      <c r="F110" s="304" t="s">
        <v>1423</v>
      </c>
      <c r="G110" s="304" t="s">
        <v>1196</v>
      </c>
      <c r="H110" s="307" t="s">
        <v>1946</v>
      </c>
      <c r="I110" s="307" t="s">
        <v>1839</v>
      </c>
      <c r="J110" s="307" t="s">
        <v>2180</v>
      </c>
      <c r="K110" s="569"/>
      <c r="L110" s="212" t="s">
        <v>2193</v>
      </c>
      <c r="M110" s="212" t="s">
        <v>2179</v>
      </c>
    </row>
    <row r="111" spans="1:14" ht="30" hidden="1">
      <c r="A111" s="211" t="s">
        <v>56</v>
      </c>
      <c r="B111" s="211"/>
      <c r="C111" s="211"/>
      <c r="D111" s="211" t="s">
        <v>1733</v>
      </c>
      <c r="E111" s="211"/>
      <c r="F111" s="212" t="s">
        <v>1423</v>
      </c>
      <c r="G111" s="212" t="s">
        <v>1196</v>
      </c>
      <c r="H111" s="272" t="s">
        <v>2173</v>
      </c>
      <c r="I111" s="494">
        <v>12500000</v>
      </c>
      <c r="J111" s="494">
        <v>86500000</v>
      </c>
      <c r="K111" s="569"/>
      <c r="L111" s="212" t="s">
        <v>2193</v>
      </c>
      <c r="M111" s="212" t="s">
        <v>2184</v>
      </c>
    </row>
    <row r="112" spans="1:14" ht="30" hidden="1">
      <c r="A112" s="211" t="s">
        <v>2087</v>
      </c>
      <c r="B112" s="211"/>
      <c r="C112" s="211"/>
      <c r="D112" s="211" t="s">
        <v>1860</v>
      </c>
      <c r="E112" s="211"/>
      <c r="F112" s="212" t="s">
        <v>1423</v>
      </c>
      <c r="G112" s="212" t="s">
        <v>1196</v>
      </c>
      <c r="H112" s="272" t="s">
        <v>2172</v>
      </c>
      <c r="I112" s="494">
        <v>9500000</v>
      </c>
      <c r="J112" s="494">
        <v>82000000</v>
      </c>
      <c r="L112" s="212" t="s">
        <v>2193</v>
      </c>
      <c r="M112" s="212" t="s">
        <v>2303</v>
      </c>
    </row>
    <row r="113" spans="1:13" ht="30" hidden="1">
      <c r="A113" s="211" t="s">
        <v>870</v>
      </c>
      <c r="B113" s="211"/>
      <c r="C113" s="211"/>
      <c r="D113" s="211" t="s">
        <v>2182</v>
      </c>
      <c r="E113" s="211"/>
      <c r="F113" s="212" t="s">
        <v>1423</v>
      </c>
      <c r="G113" s="212" t="s">
        <v>1196</v>
      </c>
      <c r="H113" s="272" t="s">
        <v>2183</v>
      </c>
      <c r="I113" s="494">
        <v>9500000</v>
      </c>
      <c r="J113" s="494">
        <v>71000000</v>
      </c>
      <c r="K113" s="569"/>
      <c r="L113" s="212" t="s">
        <v>2193</v>
      </c>
      <c r="M113" s="212" t="s">
        <v>2184</v>
      </c>
    </row>
    <row r="114" spans="1:13" ht="30" hidden="1">
      <c r="A114" s="311" t="s">
        <v>2086</v>
      </c>
      <c r="B114" s="311"/>
      <c r="C114" s="311"/>
      <c r="D114" s="311" t="s">
        <v>1812</v>
      </c>
      <c r="E114" s="570"/>
      <c r="F114" s="304" t="s">
        <v>1423</v>
      </c>
      <c r="G114" s="304" t="s">
        <v>1196</v>
      </c>
      <c r="H114" s="307" t="s">
        <v>2172</v>
      </c>
      <c r="I114" s="503">
        <v>19000000</v>
      </c>
      <c r="J114" s="503">
        <v>72000000</v>
      </c>
      <c r="K114" s="569"/>
      <c r="L114" s="212" t="s">
        <v>2193</v>
      </c>
      <c r="M114" s="304" t="s">
        <v>2227</v>
      </c>
    </row>
    <row r="115" spans="1:13" ht="30" hidden="1">
      <c r="A115" s="211" t="s">
        <v>937</v>
      </c>
      <c r="B115" s="211"/>
      <c r="C115" s="211"/>
      <c r="D115" s="211" t="s">
        <v>1765</v>
      </c>
      <c r="E115" s="211"/>
      <c r="F115" s="212" t="s">
        <v>1423</v>
      </c>
      <c r="G115" s="212" t="s">
        <v>1196</v>
      </c>
      <c r="H115" s="272" t="s">
        <v>1945</v>
      </c>
      <c r="I115" s="513">
        <v>16100000</v>
      </c>
      <c r="J115" s="513">
        <v>82500000</v>
      </c>
      <c r="K115" s="276"/>
      <c r="L115" s="212" t="s">
        <v>2193</v>
      </c>
      <c r="M115" s="211" t="s">
        <v>2255</v>
      </c>
    </row>
    <row r="116" spans="1:13" ht="30" hidden="1">
      <c r="A116" s="211" t="s">
        <v>2220</v>
      </c>
      <c r="B116" s="211"/>
      <c r="C116" s="211"/>
      <c r="D116" s="211" t="s">
        <v>1718</v>
      </c>
      <c r="E116" s="211"/>
      <c r="F116" s="211" t="s">
        <v>3</v>
      </c>
      <c r="G116" s="212" t="s">
        <v>1196</v>
      </c>
      <c r="H116" s="272" t="s">
        <v>2244</v>
      </c>
      <c r="I116" s="513">
        <v>21000000</v>
      </c>
      <c r="J116" s="513">
        <v>78500000</v>
      </c>
      <c r="K116" s="276"/>
      <c r="L116" s="212" t="s">
        <v>2193</v>
      </c>
      <c r="M116" s="211" t="s">
        <v>2245</v>
      </c>
    </row>
    <row r="117" spans="1:13" ht="30" hidden="1">
      <c r="A117" s="211" t="s">
        <v>879</v>
      </c>
      <c r="B117" s="211"/>
      <c r="C117" s="211"/>
      <c r="D117" s="211" t="s">
        <v>1733</v>
      </c>
      <c r="E117" s="211"/>
      <c r="F117" s="212" t="s">
        <v>1423</v>
      </c>
      <c r="G117" s="212" t="s">
        <v>1196</v>
      </c>
      <c r="H117" s="272" t="s">
        <v>2253</v>
      </c>
      <c r="I117" s="513">
        <v>5000000</v>
      </c>
      <c r="J117" s="513">
        <v>86500000</v>
      </c>
      <c r="K117" s="276"/>
      <c r="L117" s="212" t="s">
        <v>2193</v>
      </c>
      <c r="M117" s="211" t="s">
        <v>2254</v>
      </c>
    </row>
    <row r="118" spans="1:13" ht="30" hidden="1">
      <c r="A118" s="211" t="s">
        <v>2273</v>
      </c>
      <c r="B118" s="211"/>
      <c r="C118" s="211"/>
      <c r="D118" s="211" t="s">
        <v>1718</v>
      </c>
      <c r="E118" s="211"/>
      <c r="F118" s="211" t="s">
        <v>3</v>
      </c>
      <c r="G118" s="212" t="s">
        <v>1196</v>
      </c>
      <c r="H118" s="272" t="s">
        <v>2173</v>
      </c>
      <c r="I118" s="513">
        <v>12400000</v>
      </c>
      <c r="J118" s="513">
        <v>81600000</v>
      </c>
      <c r="K118" s="276"/>
      <c r="L118" s="212" t="s">
        <v>2193</v>
      </c>
      <c r="M118" s="211" t="s">
        <v>2274</v>
      </c>
    </row>
    <row r="119" spans="1:13" ht="30" hidden="1">
      <c r="A119" s="548" t="s">
        <v>919</v>
      </c>
      <c r="B119" s="211"/>
      <c r="C119" s="211"/>
      <c r="D119" s="548" t="s">
        <v>1765</v>
      </c>
      <c r="E119" s="211"/>
      <c r="F119" s="273" t="s">
        <v>1423</v>
      </c>
      <c r="G119" s="273" t="s">
        <v>1196</v>
      </c>
      <c r="H119" s="549" t="s">
        <v>2172</v>
      </c>
      <c r="I119" s="550">
        <v>27500000</v>
      </c>
      <c r="J119" s="550">
        <v>70000000</v>
      </c>
      <c r="K119" s="276"/>
      <c r="L119" s="280" t="s">
        <v>2193</v>
      </c>
      <c r="M119" s="548" t="s">
        <v>2294</v>
      </c>
    </row>
    <row r="120" spans="1:13" ht="30" hidden="1">
      <c r="A120" s="211" t="s">
        <v>2084</v>
      </c>
      <c r="B120" s="211"/>
      <c r="C120" s="211"/>
      <c r="D120" s="211" t="s">
        <v>1860</v>
      </c>
      <c r="E120" s="211"/>
      <c r="F120" s="212" t="s">
        <v>1423</v>
      </c>
      <c r="G120" s="212" t="s">
        <v>1196</v>
      </c>
      <c r="H120" s="272" t="s">
        <v>2310</v>
      </c>
      <c r="I120" s="513">
        <v>6000000</v>
      </c>
      <c r="J120" s="550">
        <v>84500000</v>
      </c>
      <c r="K120" s="276"/>
      <c r="L120" s="212" t="s">
        <v>2193</v>
      </c>
      <c r="M120" s="558" t="s">
        <v>2311</v>
      </c>
    </row>
    <row r="121" spans="1:13" ht="30" hidden="1">
      <c r="A121" s="211" t="s">
        <v>2278</v>
      </c>
      <c r="B121" s="211"/>
      <c r="C121" s="211"/>
      <c r="D121" s="211" t="s">
        <v>1759</v>
      </c>
      <c r="E121" s="211"/>
      <c r="F121" s="211" t="s">
        <v>2324</v>
      </c>
      <c r="G121" s="211" t="s">
        <v>1118</v>
      </c>
      <c r="H121" s="272" t="s">
        <v>2326</v>
      </c>
      <c r="I121" s="276" t="s">
        <v>1761</v>
      </c>
      <c r="J121" s="276" t="s">
        <v>1761</v>
      </c>
      <c r="K121" s="276"/>
      <c r="L121" s="211" t="s">
        <v>1116</v>
      </c>
      <c r="M121" s="211" t="s">
        <v>2327</v>
      </c>
    </row>
    <row r="122" spans="1:13" ht="30" hidden="1">
      <c r="A122" s="211" t="s">
        <v>2200</v>
      </c>
      <c r="B122" s="211"/>
      <c r="C122" s="211"/>
      <c r="D122" s="211" t="s">
        <v>1759</v>
      </c>
      <c r="E122" s="211"/>
      <c r="F122" s="211" t="s">
        <v>2324</v>
      </c>
      <c r="G122" s="211" t="s">
        <v>1196</v>
      </c>
      <c r="H122" s="272" t="s">
        <v>2325</v>
      </c>
      <c r="I122" s="513">
        <v>9000000</v>
      </c>
      <c r="J122" s="550">
        <v>76000000</v>
      </c>
      <c r="K122" s="276"/>
      <c r="L122" s="211" t="s">
        <v>1116</v>
      </c>
      <c r="M122" s="211" t="s">
        <v>2327</v>
      </c>
    </row>
    <row r="123" spans="1:13" ht="30" hidden="1">
      <c r="A123" s="211" t="s">
        <v>2280</v>
      </c>
      <c r="B123" s="211"/>
      <c r="C123" s="211"/>
      <c r="D123" s="211" t="s">
        <v>1759</v>
      </c>
      <c r="E123" s="211"/>
      <c r="F123" s="211" t="s">
        <v>2324</v>
      </c>
      <c r="G123" s="211" t="s">
        <v>1118</v>
      </c>
      <c r="H123" s="272" t="s">
        <v>2172</v>
      </c>
      <c r="I123" s="276" t="s">
        <v>1761</v>
      </c>
      <c r="J123" s="276" t="s">
        <v>1761</v>
      </c>
      <c r="K123" s="276"/>
      <c r="L123" s="211" t="s">
        <v>1116</v>
      </c>
      <c r="M123" s="211" t="s">
        <v>2363</v>
      </c>
    </row>
    <row r="124" spans="1:13" ht="30" hidden="1">
      <c r="A124" s="211" t="s">
        <v>2201</v>
      </c>
      <c r="B124" s="211"/>
      <c r="C124" s="211"/>
      <c r="D124" s="211" t="s">
        <v>1718</v>
      </c>
      <c r="E124" s="211"/>
      <c r="F124" s="211" t="s">
        <v>2324</v>
      </c>
      <c r="G124" s="211" t="s">
        <v>1196</v>
      </c>
      <c r="H124" s="272" t="s">
        <v>1946</v>
      </c>
      <c r="I124" s="276">
        <v>14600000</v>
      </c>
      <c r="J124" s="276">
        <v>78500000</v>
      </c>
      <c r="K124" s="276"/>
      <c r="L124" s="211" t="s">
        <v>1116</v>
      </c>
      <c r="M124" s="211" t="s">
        <v>2366</v>
      </c>
    </row>
    <row r="125" spans="1:13" ht="30" hidden="1">
      <c r="A125" s="211" t="s">
        <v>2284</v>
      </c>
      <c r="B125" s="211"/>
      <c r="C125" s="211"/>
      <c r="D125" s="211" t="s">
        <v>1850</v>
      </c>
      <c r="E125" s="211"/>
      <c r="F125" s="211" t="s">
        <v>2324</v>
      </c>
      <c r="G125" s="211" t="s">
        <v>1118</v>
      </c>
      <c r="H125" s="272" t="s">
        <v>2368</v>
      </c>
      <c r="I125" s="513">
        <v>8000000</v>
      </c>
      <c r="J125" s="550">
        <v>65000000</v>
      </c>
      <c r="K125" s="276"/>
      <c r="L125" s="211" t="s">
        <v>1116</v>
      </c>
      <c r="M125" s="211" t="s">
        <v>2369</v>
      </c>
    </row>
    <row r="126" spans="1:13" ht="30" hidden="1">
      <c r="A126" s="311" t="s">
        <v>2286</v>
      </c>
      <c r="D126" s="311" t="s">
        <v>1718</v>
      </c>
      <c r="F126" s="311" t="s">
        <v>2324</v>
      </c>
      <c r="G126" s="311" t="s">
        <v>319</v>
      </c>
      <c r="H126" s="583" t="s">
        <v>2404</v>
      </c>
      <c r="I126" s="584">
        <v>19000000</v>
      </c>
      <c r="J126" s="585">
        <v>73000000</v>
      </c>
      <c r="K126" s="311" t="s">
        <v>1116</v>
      </c>
      <c r="L126" s="311" t="s">
        <v>1116</v>
      </c>
      <c r="M126" s="311" t="s">
        <v>2405</v>
      </c>
    </row>
    <row r="127" spans="1:13" ht="30" hidden="1">
      <c r="A127" s="211" t="s">
        <v>2391</v>
      </c>
      <c r="B127" s="211"/>
      <c r="C127" s="211"/>
      <c r="D127" s="211" t="s">
        <v>2417</v>
      </c>
      <c r="E127" s="211"/>
      <c r="F127" s="211" t="s">
        <v>2324</v>
      </c>
      <c r="G127" s="211" t="s">
        <v>319</v>
      </c>
      <c r="H127" s="272" t="s">
        <v>2418</v>
      </c>
      <c r="I127" s="513">
        <v>20000000</v>
      </c>
      <c r="J127" s="550">
        <v>75000000</v>
      </c>
      <c r="K127" s="211" t="s">
        <v>1116</v>
      </c>
      <c r="L127" s="211" t="s">
        <v>1116</v>
      </c>
      <c r="M127" s="211" t="s">
        <v>2419</v>
      </c>
    </row>
    <row r="128" spans="1:13" ht="30">
      <c r="A128" s="211" t="s">
        <v>2434</v>
      </c>
      <c r="D128" s="211" t="s">
        <v>1759</v>
      </c>
      <c r="F128" s="211" t="s">
        <v>2324</v>
      </c>
      <c r="G128" s="211" t="s">
        <v>2432</v>
      </c>
      <c r="H128" s="272" t="s">
        <v>2580</v>
      </c>
      <c r="I128" s="276" t="s">
        <v>1761</v>
      </c>
      <c r="J128" s="276" t="s">
        <v>1761</v>
      </c>
      <c r="L128" s="211" t="s">
        <v>1116</v>
      </c>
      <c r="M128" s="211" t="s">
        <v>2581</v>
      </c>
    </row>
    <row r="129" spans="1:13" ht="30">
      <c r="A129" s="211" t="s">
        <v>2509</v>
      </c>
      <c r="D129" s="211" t="s">
        <v>1809</v>
      </c>
      <c r="F129" s="211" t="s">
        <v>1423</v>
      </c>
      <c r="G129" s="211" t="s">
        <v>1024</v>
      </c>
      <c r="H129" s="272" t="s">
        <v>2325</v>
      </c>
      <c r="I129" s="513">
        <v>20000000</v>
      </c>
      <c r="J129" s="550">
        <v>69500000</v>
      </c>
      <c r="L129" s="211" t="s">
        <v>1116</v>
      </c>
      <c r="M129" s="211" t="s">
        <v>2582</v>
      </c>
    </row>
  </sheetData>
  <autoFilter ref="A4:O127" xr:uid="{00000000-0009-0000-0000-000009000000}">
    <filterColumn colId="0">
      <filters>
        <filter val="PASARBARUKARAWACI"/>
      </filters>
    </filterColumn>
  </autoFilter>
  <pageMargins left="0.7" right="0.7" top="0.75" bottom="0.75" header="0.3" footer="0.3"/>
  <pageSetup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filterMode="1"/>
  <dimension ref="A1:T203"/>
  <sheetViews>
    <sheetView zoomScale="90" zoomScaleNormal="90" workbookViewId="0">
      <pane xSplit="5" ySplit="1" topLeftCell="P201" activePane="bottomRight" state="frozen"/>
      <selection activeCell="AJ149" sqref="AJ149"/>
      <selection pane="topRight" activeCell="AJ149" sqref="AJ149"/>
      <selection pane="bottomLeft" activeCell="AJ149" sqref="AJ149"/>
      <selection pane="bottomRight" activeCell="B1" sqref="B1:T203"/>
    </sheetView>
  </sheetViews>
  <sheetFormatPr defaultColWidth="9.140625" defaultRowHeight="15"/>
  <cols>
    <col min="1" max="1" width="18.5703125" style="2" bestFit="1" customWidth="1"/>
    <col min="2" max="2" width="14.140625" style="2" bestFit="1" customWidth="1"/>
    <col min="3" max="3" width="14" style="2" bestFit="1" customWidth="1"/>
    <col min="4" max="4" width="19.85546875" style="2" customWidth="1"/>
    <col min="5" max="5" width="29.42578125" style="2" customWidth="1"/>
    <col min="6" max="6" width="12.7109375" style="2" customWidth="1"/>
    <col min="7" max="7" width="12.42578125" style="2" customWidth="1"/>
    <col min="8" max="8" width="14.7109375" style="2" customWidth="1"/>
    <col min="9" max="9" width="9.140625" style="2" customWidth="1"/>
    <col min="10" max="10" width="9.140625" style="2"/>
    <col min="11" max="11" width="14.140625" style="240" bestFit="1" customWidth="1"/>
    <col min="12" max="12" width="12.140625" style="240" bestFit="1" customWidth="1"/>
    <col min="13" max="13" width="21.5703125" style="2" bestFit="1" customWidth="1"/>
    <col min="14" max="14" width="68.42578125" style="2" customWidth="1"/>
    <col min="15" max="15" width="16.28515625" style="2" bestFit="1" customWidth="1"/>
    <col min="16" max="16" width="12.42578125" style="2" bestFit="1" customWidth="1"/>
    <col min="17" max="17" width="14.7109375" style="2" customWidth="1"/>
    <col min="18" max="18" width="24.28515625" style="2" customWidth="1"/>
    <col min="19" max="19" width="22.140625" style="2" bestFit="1" customWidth="1"/>
    <col min="20" max="20" width="12.85546875" style="407" customWidth="1"/>
    <col min="21" max="16384" width="9.140625" style="389"/>
  </cols>
  <sheetData>
    <row r="1" spans="1:20">
      <c r="A1" s="400" t="s">
        <v>1412</v>
      </c>
      <c r="B1" s="218" t="s">
        <v>1413</v>
      </c>
      <c r="C1" s="218" t="s">
        <v>1414</v>
      </c>
      <c r="D1" s="218" t="s">
        <v>67</v>
      </c>
      <c r="E1" s="218" t="s">
        <v>1041</v>
      </c>
      <c r="F1" s="218" t="s">
        <v>70</v>
      </c>
      <c r="G1" s="218" t="s">
        <v>71</v>
      </c>
      <c r="H1" s="218" t="s">
        <v>1415</v>
      </c>
      <c r="I1" s="218" t="s">
        <v>1416</v>
      </c>
      <c r="J1" s="218" t="s">
        <v>1047</v>
      </c>
      <c r="K1" s="218" t="s">
        <v>1418</v>
      </c>
      <c r="L1" s="218" t="s">
        <v>1417</v>
      </c>
      <c r="M1" s="218" t="s">
        <v>79</v>
      </c>
      <c r="N1" s="218" t="s">
        <v>78</v>
      </c>
      <c r="O1" s="218" t="s">
        <v>80</v>
      </c>
      <c r="P1" s="218" t="s">
        <v>81</v>
      </c>
      <c r="Q1" s="218" t="s">
        <v>1419</v>
      </c>
      <c r="R1" s="218" t="s">
        <v>1420</v>
      </c>
      <c r="S1" s="218" t="s">
        <v>1421</v>
      </c>
      <c r="T1" s="944" t="s">
        <v>1422</v>
      </c>
    </row>
    <row r="2" spans="1:20" hidden="1">
      <c r="A2" s="2">
        <f>D2</f>
        <v>0</v>
      </c>
      <c r="B2" s="222">
        <v>23054806231</v>
      </c>
      <c r="C2" s="222"/>
      <c r="D2" s="222"/>
      <c r="E2" s="222" t="s">
        <v>1194</v>
      </c>
      <c r="F2" s="2" t="s">
        <v>10</v>
      </c>
      <c r="G2" s="2" t="s">
        <v>100</v>
      </c>
      <c r="H2" s="2" t="s">
        <v>1423</v>
      </c>
      <c r="I2" s="2" t="s">
        <v>4</v>
      </c>
      <c r="J2" s="29" t="s">
        <v>316</v>
      </c>
      <c r="K2" s="224" t="s">
        <v>1424</v>
      </c>
      <c r="L2" s="224" t="s">
        <v>1425</v>
      </c>
      <c r="M2" s="2" t="s">
        <v>1426</v>
      </c>
      <c r="N2" s="2" t="s">
        <v>1427</v>
      </c>
      <c r="O2" s="2" t="s">
        <v>1428</v>
      </c>
      <c r="P2" s="2" t="s">
        <v>20</v>
      </c>
      <c r="Q2" s="2" t="s">
        <v>1429</v>
      </c>
      <c r="T2" s="2"/>
    </row>
    <row r="3" spans="1:20" hidden="1">
      <c r="A3" s="2" t="str">
        <f t="shared" ref="A3:A27" si="0">D3</f>
        <v>JAK1040</v>
      </c>
      <c r="B3" s="940" t="s">
        <v>1430</v>
      </c>
      <c r="C3" s="940" t="s">
        <v>1431</v>
      </c>
      <c r="D3" s="219" t="s">
        <v>1432</v>
      </c>
      <c r="E3" s="940" t="s">
        <v>1200</v>
      </c>
      <c r="F3" s="2" t="s">
        <v>10</v>
      </c>
      <c r="G3" s="2" t="s">
        <v>100</v>
      </c>
      <c r="H3" s="2" t="s">
        <v>1423</v>
      </c>
      <c r="I3" s="2" t="s">
        <v>4</v>
      </c>
      <c r="J3" s="220" t="s">
        <v>178</v>
      </c>
      <c r="K3" s="221" t="s">
        <v>1433</v>
      </c>
      <c r="L3" s="221" t="s">
        <v>1434</v>
      </c>
      <c r="M3" s="2" t="s">
        <v>1426</v>
      </c>
      <c r="N3" s="2" t="s">
        <v>1435</v>
      </c>
      <c r="O3" s="2" t="s">
        <v>1428</v>
      </c>
      <c r="P3" s="2" t="s">
        <v>20</v>
      </c>
      <c r="Q3" s="2" t="s">
        <v>1436</v>
      </c>
      <c r="T3" s="2"/>
    </row>
    <row r="4" spans="1:20" hidden="1">
      <c r="A4" s="2">
        <f t="shared" si="0"/>
        <v>0</v>
      </c>
      <c r="B4" s="222">
        <v>23054784231</v>
      </c>
      <c r="C4" s="222"/>
      <c r="D4" s="222"/>
      <c r="E4" s="222" t="s">
        <v>1256</v>
      </c>
      <c r="F4" s="2" t="s">
        <v>10</v>
      </c>
      <c r="G4" s="2" t="s">
        <v>100</v>
      </c>
      <c r="H4" s="2" t="s">
        <v>1423</v>
      </c>
      <c r="I4" s="2" t="s">
        <v>4</v>
      </c>
      <c r="J4" s="29" t="s">
        <v>314</v>
      </c>
      <c r="K4" s="225" t="s">
        <v>1437</v>
      </c>
      <c r="L4" s="225" t="s">
        <v>1438</v>
      </c>
      <c r="M4" s="2" t="s">
        <v>1426</v>
      </c>
      <c r="N4" s="2" t="s">
        <v>1439</v>
      </c>
      <c r="O4" s="2" t="s">
        <v>1440</v>
      </c>
      <c r="P4" s="2" t="s">
        <v>13</v>
      </c>
      <c r="Q4" s="2" t="s">
        <v>1436</v>
      </c>
      <c r="R4" s="2" t="s">
        <v>1441</v>
      </c>
      <c r="S4" s="2" t="s">
        <v>1442</v>
      </c>
      <c r="T4" s="2"/>
    </row>
    <row r="5" spans="1:20" hidden="1">
      <c r="A5" s="2">
        <f t="shared" si="0"/>
        <v>0</v>
      </c>
      <c r="B5" s="223">
        <v>4054727041</v>
      </c>
      <c r="C5" s="223"/>
      <c r="D5" s="223"/>
      <c r="E5" s="215" t="s">
        <v>1443</v>
      </c>
      <c r="F5" s="2" t="s">
        <v>10</v>
      </c>
      <c r="G5" s="2" t="s">
        <v>100</v>
      </c>
      <c r="H5" s="2" t="s">
        <v>1444</v>
      </c>
      <c r="I5" s="2" t="s">
        <v>4</v>
      </c>
      <c r="J5" s="29" t="s">
        <v>178</v>
      </c>
      <c r="K5" s="401" t="s">
        <v>1445</v>
      </c>
      <c r="L5" s="401" t="s">
        <v>1446</v>
      </c>
      <c r="M5" s="2" t="s">
        <v>1447</v>
      </c>
      <c r="N5" s="2" t="s">
        <v>1448</v>
      </c>
      <c r="O5" s="2" t="s">
        <v>497</v>
      </c>
      <c r="P5" s="2" t="s">
        <v>13</v>
      </c>
      <c r="Q5" s="2" t="s">
        <v>1436</v>
      </c>
      <c r="R5" s="2" t="s">
        <v>1449</v>
      </c>
      <c r="S5" s="2" t="s">
        <v>1442</v>
      </c>
      <c r="T5" s="2"/>
    </row>
    <row r="6" spans="1:20" hidden="1">
      <c r="A6" s="2" t="str">
        <f t="shared" si="0"/>
        <v>JAK0743</v>
      </c>
      <c r="B6" s="940">
        <v>23054785231</v>
      </c>
      <c r="C6" s="940"/>
      <c r="D6" s="940" t="s">
        <v>1450</v>
      </c>
      <c r="E6" s="940" t="s">
        <v>1260</v>
      </c>
      <c r="F6" s="2" t="s">
        <v>10</v>
      </c>
      <c r="G6" s="2" t="s">
        <v>100</v>
      </c>
      <c r="H6" s="41" t="s">
        <v>1423</v>
      </c>
      <c r="I6" s="2" t="s">
        <v>4</v>
      </c>
      <c r="J6" s="146" t="s">
        <v>1451</v>
      </c>
      <c r="K6" s="224" t="s">
        <v>1452</v>
      </c>
      <c r="L6" s="224" t="s">
        <v>1453</v>
      </c>
      <c r="M6" s="2" t="s">
        <v>1447</v>
      </c>
      <c r="N6" s="2" t="s">
        <v>1454</v>
      </c>
      <c r="O6" s="2" t="s">
        <v>497</v>
      </c>
      <c r="P6" s="2" t="s">
        <v>13</v>
      </c>
      <c r="Q6" s="2" t="s">
        <v>1429</v>
      </c>
      <c r="R6" s="2" t="s">
        <v>1449</v>
      </c>
      <c r="S6" s="2" t="s">
        <v>1442</v>
      </c>
      <c r="T6" s="2"/>
    </row>
    <row r="7" spans="1:20" hidden="1">
      <c r="A7" s="2" t="str">
        <f t="shared" si="0"/>
        <v>Jabo_Outer_add_024</v>
      </c>
      <c r="B7" s="940">
        <v>23054805231</v>
      </c>
      <c r="C7" s="940">
        <v>125943123</v>
      </c>
      <c r="D7" s="940" t="s">
        <v>1455</v>
      </c>
      <c r="E7" s="940" t="s">
        <v>1263</v>
      </c>
      <c r="F7" s="2" t="s">
        <v>10</v>
      </c>
      <c r="G7" s="2" t="s">
        <v>100</v>
      </c>
      <c r="H7" s="2" t="s">
        <v>1423</v>
      </c>
      <c r="I7" s="2" t="s">
        <v>4</v>
      </c>
      <c r="J7" s="29" t="s">
        <v>179</v>
      </c>
      <c r="K7" s="225" t="s">
        <v>1456</v>
      </c>
      <c r="L7" s="224" t="s">
        <v>1457</v>
      </c>
      <c r="M7" s="2" t="s">
        <v>1426</v>
      </c>
      <c r="N7" s="2" t="s">
        <v>1458</v>
      </c>
      <c r="O7" s="2" t="s">
        <v>1440</v>
      </c>
      <c r="P7" s="2" t="s">
        <v>13</v>
      </c>
      <c r="Q7" s="2" t="s">
        <v>1459</v>
      </c>
      <c r="T7" s="2"/>
    </row>
    <row r="8" spans="1:20" hidden="1">
      <c r="A8" s="2" t="str">
        <f t="shared" si="0"/>
        <v>Jabo_Outer_add_023</v>
      </c>
      <c r="B8" s="940">
        <v>23054782231</v>
      </c>
      <c r="C8" s="940">
        <v>125928123</v>
      </c>
      <c r="D8" s="940" t="s">
        <v>1460</v>
      </c>
      <c r="E8" s="940" t="s">
        <v>1266</v>
      </c>
      <c r="F8" s="2" t="s">
        <v>10</v>
      </c>
      <c r="G8" s="2" t="s">
        <v>100</v>
      </c>
      <c r="H8" s="2" t="s">
        <v>1423</v>
      </c>
      <c r="I8" s="2" t="s">
        <v>4</v>
      </c>
      <c r="J8" s="146" t="s">
        <v>323</v>
      </c>
      <c r="K8" s="224" t="s">
        <v>1461</v>
      </c>
      <c r="L8" s="224" t="s">
        <v>1462</v>
      </c>
      <c r="M8" s="2" t="s">
        <v>1426</v>
      </c>
      <c r="N8" s="2" t="s">
        <v>1463</v>
      </c>
      <c r="O8" s="2" t="s">
        <v>1440</v>
      </c>
      <c r="P8" s="2" t="s">
        <v>13</v>
      </c>
      <c r="Q8" s="2" t="s">
        <v>1459</v>
      </c>
      <c r="T8" s="2"/>
    </row>
    <row r="9" spans="1:20" hidden="1">
      <c r="A9" s="2" t="str">
        <f t="shared" si="0"/>
        <v>BOG0119</v>
      </c>
      <c r="B9" s="940" t="s">
        <v>1464</v>
      </c>
      <c r="C9" s="940" t="s">
        <v>1465</v>
      </c>
      <c r="D9" s="219" t="s">
        <v>1466</v>
      </c>
      <c r="E9" s="2" t="s">
        <v>1270</v>
      </c>
      <c r="F9" s="2" t="s">
        <v>10</v>
      </c>
      <c r="G9" s="2" t="s">
        <v>100</v>
      </c>
      <c r="H9" s="2" t="s">
        <v>1423</v>
      </c>
      <c r="I9" s="2" t="s">
        <v>4</v>
      </c>
      <c r="J9" s="29" t="s">
        <v>316</v>
      </c>
      <c r="K9" s="221" t="s">
        <v>1467</v>
      </c>
      <c r="L9" s="221" t="s">
        <v>1468</v>
      </c>
      <c r="M9" s="2" t="s">
        <v>1426</v>
      </c>
      <c r="N9" s="2" t="s">
        <v>1469</v>
      </c>
      <c r="O9" s="2" t="s">
        <v>1440</v>
      </c>
      <c r="P9" s="2" t="s">
        <v>13</v>
      </c>
      <c r="Q9" s="2" t="s">
        <v>1436</v>
      </c>
      <c r="R9" s="2" t="s">
        <v>1470</v>
      </c>
      <c r="S9" s="2" t="s">
        <v>1442</v>
      </c>
      <c r="T9" s="2"/>
    </row>
    <row r="10" spans="1:20" hidden="1">
      <c r="A10" s="2" t="str">
        <f t="shared" si="0"/>
        <v>02RKB025</v>
      </c>
      <c r="B10" s="41">
        <v>4054932041</v>
      </c>
      <c r="D10" s="2" t="s">
        <v>1471</v>
      </c>
      <c r="E10" s="2" t="s">
        <v>1472</v>
      </c>
      <c r="F10" s="2" t="s">
        <v>10</v>
      </c>
      <c r="G10" s="2" t="s">
        <v>100</v>
      </c>
      <c r="H10" s="2" t="s">
        <v>1444</v>
      </c>
      <c r="I10" s="2" t="s">
        <v>4</v>
      </c>
      <c r="J10" s="29" t="s">
        <v>179</v>
      </c>
      <c r="K10" s="226" t="s">
        <v>1473</v>
      </c>
      <c r="L10" s="227" t="s">
        <v>1474</v>
      </c>
      <c r="M10" s="2" t="s">
        <v>1426</v>
      </c>
      <c r="N10" s="2" t="s">
        <v>1475</v>
      </c>
      <c r="O10" s="2" t="s">
        <v>659</v>
      </c>
      <c r="P10" s="2" t="s">
        <v>13</v>
      </c>
      <c r="Q10" s="2" t="s">
        <v>1459</v>
      </c>
      <c r="R10" s="2" t="s">
        <v>1476</v>
      </c>
      <c r="S10" s="2" t="s">
        <v>1442</v>
      </c>
      <c r="T10" s="2"/>
    </row>
    <row r="11" spans="1:20" hidden="1">
      <c r="A11" s="2" t="str">
        <f t="shared" si="0"/>
        <v>BOG0175</v>
      </c>
      <c r="B11" s="940" t="s">
        <v>1477</v>
      </c>
      <c r="C11" s="940" t="s">
        <v>1478</v>
      </c>
      <c r="D11" s="219" t="s">
        <v>1479</v>
      </c>
      <c r="E11" s="940" t="s">
        <v>1268</v>
      </c>
      <c r="F11" s="2" t="s">
        <v>10</v>
      </c>
      <c r="G11" s="2" t="s">
        <v>100</v>
      </c>
      <c r="H11" s="2" t="s">
        <v>1423</v>
      </c>
      <c r="I11" s="2" t="s">
        <v>4</v>
      </c>
      <c r="J11" s="29" t="s">
        <v>179</v>
      </c>
      <c r="K11" s="221" t="s">
        <v>1480</v>
      </c>
      <c r="L11" s="221" t="s">
        <v>1481</v>
      </c>
      <c r="M11" s="2" t="s">
        <v>1426</v>
      </c>
      <c r="N11" s="2" t="s">
        <v>1482</v>
      </c>
      <c r="O11" s="2" t="s">
        <v>1257</v>
      </c>
      <c r="P11" s="2" t="s">
        <v>13</v>
      </c>
      <c r="Q11" s="2" t="s">
        <v>1436</v>
      </c>
      <c r="R11" s="2" t="s">
        <v>1483</v>
      </c>
      <c r="S11" s="2" t="s">
        <v>1442</v>
      </c>
      <c r="T11" s="2"/>
    </row>
    <row r="12" spans="1:20" hidden="1">
      <c r="A12" s="2" t="str">
        <f t="shared" si="0"/>
        <v>BOG0064</v>
      </c>
      <c r="B12" s="940">
        <v>23055087231</v>
      </c>
      <c r="C12" s="940" t="s">
        <v>1484</v>
      </c>
      <c r="D12" s="219" t="s">
        <v>1485</v>
      </c>
      <c r="E12" s="940" t="s">
        <v>1272</v>
      </c>
      <c r="F12" s="2" t="s">
        <v>10</v>
      </c>
      <c r="G12" s="2" t="s">
        <v>100</v>
      </c>
      <c r="H12" s="2" t="s">
        <v>1423</v>
      </c>
      <c r="I12" s="2" t="s">
        <v>4</v>
      </c>
      <c r="J12" s="220" t="s">
        <v>323</v>
      </c>
      <c r="K12" s="221" t="s">
        <v>1486</v>
      </c>
      <c r="L12" s="221" t="s">
        <v>1487</v>
      </c>
      <c r="M12" s="2" t="s">
        <v>1426</v>
      </c>
      <c r="N12" s="2" t="s">
        <v>1488</v>
      </c>
      <c r="O12" s="2" t="s">
        <v>1257</v>
      </c>
      <c r="P12" s="2" t="s">
        <v>13</v>
      </c>
      <c r="Q12" s="2" t="s">
        <v>1436</v>
      </c>
      <c r="R12" s="2" t="s">
        <v>1489</v>
      </c>
      <c r="S12" s="2" t="s">
        <v>1442</v>
      </c>
      <c r="T12" s="2"/>
    </row>
    <row r="13" spans="1:20" hidden="1">
      <c r="A13" s="2" t="str">
        <f t="shared" si="0"/>
        <v>BOG0142</v>
      </c>
      <c r="B13" s="940">
        <v>23054746231</v>
      </c>
      <c r="C13" s="940">
        <v>125922123</v>
      </c>
      <c r="D13" s="219" t="s">
        <v>1490</v>
      </c>
      <c r="E13" s="940" t="s">
        <v>1275</v>
      </c>
      <c r="F13" s="2" t="s">
        <v>10</v>
      </c>
      <c r="G13" s="2" t="s">
        <v>100</v>
      </c>
      <c r="H13" s="2" t="s">
        <v>1423</v>
      </c>
      <c r="I13" s="2" t="s">
        <v>4</v>
      </c>
      <c r="J13" s="146" t="s">
        <v>1451</v>
      </c>
      <c r="K13" s="224" t="s">
        <v>1491</v>
      </c>
      <c r="L13" s="224" t="s">
        <v>1492</v>
      </c>
      <c r="M13" s="2" t="s">
        <v>1426</v>
      </c>
      <c r="N13" s="2" t="s">
        <v>1493</v>
      </c>
      <c r="O13" s="2" t="s">
        <v>1257</v>
      </c>
      <c r="P13" s="2" t="s">
        <v>13</v>
      </c>
      <c r="Q13" s="2" t="s">
        <v>1436</v>
      </c>
      <c r="R13" s="2" t="s">
        <v>1494</v>
      </c>
      <c r="S13" s="2" t="s">
        <v>1442</v>
      </c>
      <c r="T13" s="2"/>
    </row>
    <row r="14" spans="1:20" hidden="1">
      <c r="A14" s="2" t="str">
        <f t="shared" si="0"/>
        <v>BOG0055</v>
      </c>
      <c r="B14" s="41" t="s">
        <v>1495</v>
      </c>
      <c r="C14" s="41" t="s">
        <v>1496</v>
      </c>
      <c r="D14" s="228" t="s">
        <v>1497</v>
      </c>
      <c r="E14" s="41" t="s">
        <v>1289</v>
      </c>
      <c r="F14" s="2" t="s">
        <v>10</v>
      </c>
      <c r="G14" s="2" t="s">
        <v>100</v>
      </c>
      <c r="H14" s="2" t="s">
        <v>1423</v>
      </c>
      <c r="I14" s="2" t="s">
        <v>4</v>
      </c>
      <c r="J14" s="220" t="s">
        <v>314</v>
      </c>
      <c r="K14" s="221" t="s">
        <v>1498</v>
      </c>
      <c r="L14" s="221" t="s">
        <v>1499</v>
      </c>
      <c r="M14" s="2" t="s">
        <v>1426</v>
      </c>
      <c r="N14" s="2" t="s">
        <v>1500</v>
      </c>
      <c r="O14" s="2" t="s">
        <v>1257</v>
      </c>
      <c r="P14" s="2" t="s">
        <v>13</v>
      </c>
      <c r="Q14" s="2" t="s">
        <v>1436</v>
      </c>
      <c r="R14" s="2" t="s">
        <v>1494</v>
      </c>
      <c r="S14" s="2" t="s">
        <v>1442</v>
      </c>
      <c r="T14" s="2"/>
    </row>
    <row r="15" spans="1:20" hidden="1">
      <c r="A15" s="2" t="str">
        <f t="shared" si="0"/>
        <v>BOG0136</v>
      </c>
      <c r="B15" s="940">
        <v>23054747231</v>
      </c>
      <c r="C15" s="940"/>
      <c r="D15" s="940" t="s">
        <v>1501</v>
      </c>
      <c r="E15" s="940" t="s">
        <v>1294</v>
      </c>
      <c r="F15" s="2" t="s">
        <v>10</v>
      </c>
      <c r="G15" s="2" t="s">
        <v>100</v>
      </c>
      <c r="H15" s="2" t="s">
        <v>1423</v>
      </c>
      <c r="I15" s="2" t="s">
        <v>4</v>
      </c>
      <c r="J15" s="29" t="s">
        <v>316</v>
      </c>
      <c r="K15" s="224" t="s">
        <v>1502</v>
      </c>
      <c r="L15" s="224" t="s">
        <v>1503</v>
      </c>
      <c r="M15" s="2" t="s">
        <v>1426</v>
      </c>
      <c r="N15" s="2" t="s">
        <v>1504</v>
      </c>
      <c r="O15" s="2" t="s">
        <v>659</v>
      </c>
      <c r="P15" s="2" t="s">
        <v>13</v>
      </c>
      <c r="Q15" s="2" t="s">
        <v>1459</v>
      </c>
      <c r="R15" s="2" t="s">
        <v>1505</v>
      </c>
      <c r="S15" s="2" t="s">
        <v>1442</v>
      </c>
      <c r="T15" s="2"/>
    </row>
    <row r="16" spans="1:20" hidden="1">
      <c r="A16" s="2" t="str">
        <f t="shared" si="0"/>
        <v>JAK0266</v>
      </c>
      <c r="B16" s="940">
        <v>23054745231</v>
      </c>
      <c r="C16" s="940"/>
      <c r="D16" s="940" t="s">
        <v>1506</v>
      </c>
      <c r="E16" s="229" t="s">
        <v>1305</v>
      </c>
      <c r="F16" s="2" t="s">
        <v>2</v>
      </c>
      <c r="G16" s="41" t="s">
        <v>100</v>
      </c>
      <c r="H16" s="2" t="s">
        <v>1423</v>
      </c>
      <c r="I16" s="2" t="s">
        <v>4</v>
      </c>
      <c r="J16" s="29" t="s">
        <v>316</v>
      </c>
      <c r="K16" s="224" t="s">
        <v>1507</v>
      </c>
      <c r="L16" s="224" t="s">
        <v>1508</v>
      </c>
      <c r="M16" s="2" t="s">
        <v>1426</v>
      </c>
      <c r="N16" s="2" t="s">
        <v>1509</v>
      </c>
      <c r="O16" s="2" t="s">
        <v>1296</v>
      </c>
      <c r="P16" s="2" t="s">
        <v>13</v>
      </c>
      <c r="Q16" s="2" t="s">
        <v>1510</v>
      </c>
      <c r="R16" s="2" t="s">
        <v>1441</v>
      </c>
      <c r="S16" s="2" t="s">
        <v>1442</v>
      </c>
      <c r="T16" s="2"/>
    </row>
    <row r="17" spans="1:20" hidden="1">
      <c r="A17" s="2" t="str">
        <f t="shared" si="0"/>
        <v>JAK0292</v>
      </c>
      <c r="B17" s="940">
        <v>23054744231</v>
      </c>
      <c r="C17" s="940"/>
      <c r="D17" s="940" t="s">
        <v>1511</v>
      </c>
      <c r="E17" s="229" t="s">
        <v>1295</v>
      </c>
      <c r="F17" s="2" t="s">
        <v>2</v>
      </c>
      <c r="G17" s="41" t="s">
        <v>100</v>
      </c>
      <c r="H17" s="2" t="s">
        <v>1423</v>
      </c>
      <c r="I17" s="2" t="s">
        <v>4</v>
      </c>
      <c r="J17" s="29" t="s">
        <v>316</v>
      </c>
      <c r="K17" s="224" t="s">
        <v>1512</v>
      </c>
      <c r="L17" s="224" t="s">
        <v>1513</v>
      </c>
      <c r="M17" s="2" t="s">
        <v>1426</v>
      </c>
      <c r="N17" s="2" t="s">
        <v>1514</v>
      </c>
      <c r="O17" s="2" t="s">
        <v>1296</v>
      </c>
      <c r="P17" s="2" t="s">
        <v>13</v>
      </c>
      <c r="Q17" s="2" t="s">
        <v>1510</v>
      </c>
      <c r="R17" s="2" t="s">
        <v>1441</v>
      </c>
      <c r="S17" s="2" t="s">
        <v>1442</v>
      </c>
      <c r="T17" s="2"/>
    </row>
    <row r="18" spans="1:20" hidden="1">
      <c r="A18" s="2" t="str">
        <f t="shared" si="0"/>
        <v>JAW-BT-TGR-0030</v>
      </c>
      <c r="B18" s="402">
        <v>30572040031</v>
      </c>
      <c r="C18" s="402">
        <v>1317431003</v>
      </c>
      <c r="D18" s="230" t="s">
        <v>1515</v>
      </c>
      <c r="E18" s="230" t="s">
        <v>1203</v>
      </c>
      <c r="F18" s="2" t="s">
        <v>10</v>
      </c>
      <c r="G18" s="2" t="s">
        <v>100</v>
      </c>
      <c r="H18" s="2" t="s">
        <v>16</v>
      </c>
      <c r="I18" s="2" t="s">
        <v>4</v>
      </c>
      <c r="J18" s="40" t="s">
        <v>314</v>
      </c>
      <c r="K18" s="231" t="s">
        <v>1516</v>
      </c>
      <c r="L18" s="231" t="s">
        <v>1517</v>
      </c>
      <c r="M18" s="2" t="s">
        <v>1426</v>
      </c>
      <c r="N18" s="2" t="s">
        <v>1518</v>
      </c>
      <c r="O18" s="2" t="s">
        <v>1195</v>
      </c>
      <c r="P18" s="2" t="s">
        <v>20</v>
      </c>
      <c r="Q18" s="2" t="s">
        <v>1519</v>
      </c>
      <c r="R18" s="2" t="s">
        <v>1489</v>
      </c>
      <c r="S18" s="2" t="s">
        <v>1442</v>
      </c>
      <c r="T18" s="945" t="s">
        <v>1520</v>
      </c>
    </row>
    <row r="19" spans="1:20" hidden="1">
      <c r="A19" s="2" t="str">
        <f t="shared" si="0"/>
        <v>JAK0633</v>
      </c>
      <c r="B19" s="819" t="s">
        <v>1521</v>
      </c>
      <c r="C19" s="819" t="s">
        <v>1522</v>
      </c>
      <c r="D19" s="232" t="s">
        <v>1523</v>
      </c>
      <c r="E19" s="819" t="s">
        <v>1298</v>
      </c>
      <c r="F19" s="2" t="s">
        <v>10</v>
      </c>
      <c r="G19" s="2" t="s">
        <v>100</v>
      </c>
      <c r="H19" s="818" t="s">
        <v>1423</v>
      </c>
      <c r="I19" s="818" t="s">
        <v>4</v>
      </c>
      <c r="J19" s="403" t="s">
        <v>1451</v>
      </c>
      <c r="K19" s="404" t="s">
        <v>1524</v>
      </c>
      <c r="L19" s="404" t="s">
        <v>1525</v>
      </c>
      <c r="M19" s="2" t="s">
        <v>1426</v>
      </c>
      <c r="N19" s="405" t="s">
        <v>1526</v>
      </c>
      <c r="O19" s="405" t="s">
        <v>53</v>
      </c>
      <c r="P19" s="2" t="s">
        <v>13</v>
      </c>
      <c r="Q19" s="2" t="s">
        <v>1459</v>
      </c>
      <c r="R19" s="2" t="s">
        <v>1449</v>
      </c>
      <c r="S19" s="2" t="s">
        <v>1442</v>
      </c>
      <c r="T19" s="945" t="s">
        <v>1520</v>
      </c>
    </row>
    <row r="20" spans="1:20" hidden="1">
      <c r="A20" s="2" t="str">
        <f t="shared" si="0"/>
        <v>JAW-BT-TGR-0032</v>
      </c>
      <c r="B20" s="818">
        <v>30572170031</v>
      </c>
      <c r="C20" s="38">
        <v>1317491003</v>
      </c>
      <c r="D20" s="230" t="s">
        <v>1527</v>
      </c>
      <c r="E20" s="230" t="s">
        <v>1528</v>
      </c>
      <c r="F20" s="2" t="s">
        <v>10</v>
      </c>
      <c r="G20" s="2" t="s">
        <v>100</v>
      </c>
      <c r="H20" s="2" t="s">
        <v>16</v>
      </c>
      <c r="I20" s="2" t="s">
        <v>4</v>
      </c>
      <c r="J20" s="40" t="s">
        <v>316</v>
      </c>
      <c r="K20" s="227" t="s">
        <v>1529</v>
      </c>
      <c r="L20" s="227" t="s">
        <v>1530</v>
      </c>
      <c r="M20" s="2" t="s">
        <v>1426</v>
      </c>
      <c r="N20" s="2" t="s">
        <v>1531</v>
      </c>
      <c r="O20" s="2" t="s">
        <v>1195</v>
      </c>
      <c r="P20" s="2" t="s">
        <v>20</v>
      </c>
      <c r="Q20" s="2" t="s">
        <v>1436</v>
      </c>
      <c r="R20" s="2" t="s">
        <v>1489</v>
      </c>
      <c r="S20" s="2" t="s">
        <v>1442</v>
      </c>
      <c r="T20" s="945" t="s">
        <v>1520</v>
      </c>
    </row>
    <row r="21" spans="1:20" hidden="1">
      <c r="A21" s="2" t="str">
        <f t="shared" si="0"/>
        <v>JAW-BT-TGR-0026</v>
      </c>
      <c r="B21" s="819">
        <v>30572250031</v>
      </c>
      <c r="C21" s="819" t="s">
        <v>1532</v>
      </c>
      <c r="D21" s="233" t="s">
        <v>1533</v>
      </c>
      <c r="E21" s="233" t="s">
        <v>1534</v>
      </c>
      <c r="F21" s="2" t="s">
        <v>10</v>
      </c>
      <c r="G21" s="2" t="s">
        <v>100</v>
      </c>
      <c r="H21" s="2" t="s">
        <v>16</v>
      </c>
      <c r="I21" s="2" t="s">
        <v>4</v>
      </c>
      <c r="J21" s="2" t="s">
        <v>314</v>
      </c>
      <c r="K21" s="227" t="s">
        <v>1535</v>
      </c>
      <c r="L21" s="227" t="s">
        <v>1536</v>
      </c>
      <c r="M21" s="2" t="s">
        <v>1426</v>
      </c>
      <c r="N21" s="2" t="s">
        <v>1537</v>
      </c>
      <c r="O21" s="2" t="s">
        <v>1195</v>
      </c>
      <c r="P21" s="2" t="s">
        <v>20</v>
      </c>
      <c r="Q21" s="2" t="s">
        <v>1519</v>
      </c>
      <c r="R21" s="2" t="s">
        <v>1489</v>
      </c>
      <c r="S21" s="2" t="s">
        <v>1442</v>
      </c>
      <c r="T21" s="945" t="s">
        <v>1520</v>
      </c>
    </row>
    <row r="22" spans="1:20" hidden="1">
      <c r="A22" s="2" t="str">
        <f t="shared" si="0"/>
        <v>JAW-BT-TGR-0025</v>
      </c>
      <c r="B22" s="819">
        <v>30572240031</v>
      </c>
      <c r="C22" s="819" t="s">
        <v>1538</v>
      </c>
      <c r="D22" s="233" t="s">
        <v>1539</v>
      </c>
      <c r="E22" s="233" t="s">
        <v>1540</v>
      </c>
      <c r="F22" s="2" t="s">
        <v>10</v>
      </c>
      <c r="G22" s="2" t="s">
        <v>100</v>
      </c>
      <c r="H22" s="2" t="s">
        <v>16</v>
      </c>
      <c r="I22" s="2" t="s">
        <v>4</v>
      </c>
      <c r="J22" s="2" t="s">
        <v>316</v>
      </c>
      <c r="K22" s="227" t="s">
        <v>1541</v>
      </c>
      <c r="L22" s="227" t="s">
        <v>1542</v>
      </c>
      <c r="M22" s="2" t="s">
        <v>1426</v>
      </c>
      <c r="N22" s="2" t="s">
        <v>1543</v>
      </c>
      <c r="O22" s="2" t="s">
        <v>1195</v>
      </c>
      <c r="P22" s="2" t="s">
        <v>20</v>
      </c>
      <c r="Q22" s="2" t="s">
        <v>1436</v>
      </c>
      <c r="R22" s="2" t="s">
        <v>1489</v>
      </c>
      <c r="S22" s="2" t="s">
        <v>1442</v>
      </c>
      <c r="T22" s="945" t="s">
        <v>1520</v>
      </c>
    </row>
    <row r="23" spans="1:20" hidden="1">
      <c r="A23" s="2" t="str">
        <f t="shared" si="0"/>
        <v>JAW-BT-TGR-0051</v>
      </c>
      <c r="B23" s="819">
        <v>30572200031</v>
      </c>
      <c r="C23" s="819" t="s">
        <v>1544</v>
      </c>
      <c r="D23" s="233" t="s">
        <v>1545</v>
      </c>
      <c r="E23" s="233" t="s">
        <v>1546</v>
      </c>
      <c r="F23" s="2" t="s">
        <v>10</v>
      </c>
      <c r="G23" s="2" t="s">
        <v>100</v>
      </c>
      <c r="H23" s="2" t="s">
        <v>16</v>
      </c>
      <c r="I23" s="2" t="s">
        <v>4</v>
      </c>
      <c r="J23" s="2" t="s">
        <v>316</v>
      </c>
      <c r="K23" s="234" t="s">
        <v>1547</v>
      </c>
      <c r="L23" s="234" t="s">
        <v>1548</v>
      </c>
      <c r="M23" s="2" t="s">
        <v>1426</v>
      </c>
      <c r="N23" s="2" t="s">
        <v>1549</v>
      </c>
      <c r="O23" s="2" t="s">
        <v>1195</v>
      </c>
      <c r="P23" s="2" t="s">
        <v>20</v>
      </c>
      <c r="Q23" s="2" t="s">
        <v>1429</v>
      </c>
      <c r="R23" s="2" t="s">
        <v>1476</v>
      </c>
      <c r="S23" s="2" t="s">
        <v>1442</v>
      </c>
      <c r="T23" s="945" t="s">
        <v>1520</v>
      </c>
    </row>
    <row r="24" spans="1:20" hidden="1">
      <c r="A24" s="2" t="str">
        <f t="shared" si="0"/>
        <v>JAW-BT-TGR-0021</v>
      </c>
      <c r="B24" s="819">
        <v>30572000031</v>
      </c>
      <c r="C24" s="819" t="s">
        <v>1550</v>
      </c>
      <c r="D24" s="233" t="s">
        <v>1551</v>
      </c>
      <c r="E24" s="233" t="s">
        <v>1552</v>
      </c>
      <c r="F24" s="2" t="s">
        <v>10</v>
      </c>
      <c r="G24" s="2" t="s">
        <v>100</v>
      </c>
      <c r="H24" s="2" t="s">
        <v>16</v>
      </c>
      <c r="I24" s="2" t="s">
        <v>4</v>
      </c>
      <c r="J24" s="2" t="s">
        <v>316</v>
      </c>
      <c r="K24" s="227" t="s">
        <v>1553</v>
      </c>
      <c r="L24" s="227" t="s">
        <v>1554</v>
      </c>
      <c r="M24" s="2" t="s">
        <v>1426</v>
      </c>
      <c r="N24" s="2" t="s">
        <v>1555</v>
      </c>
      <c r="O24" s="2" t="s">
        <v>1195</v>
      </c>
      <c r="P24" s="2" t="s">
        <v>20</v>
      </c>
      <c r="Q24" s="2" t="s">
        <v>1436</v>
      </c>
      <c r="R24" s="2" t="s">
        <v>1556</v>
      </c>
      <c r="S24" s="2" t="s">
        <v>1442</v>
      </c>
      <c r="T24" s="945" t="s">
        <v>1520</v>
      </c>
    </row>
    <row r="25" spans="1:20" ht="15.75" hidden="1" customHeight="1">
      <c r="A25" s="2" t="str">
        <f t="shared" si="0"/>
        <v>JAW-BT-TGR-0040</v>
      </c>
      <c r="B25" s="819">
        <v>30572300031</v>
      </c>
      <c r="C25" s="819" t="s">
        <v>1557</v>
      </c>
      <c r="D25" s="233" t="s">
        <v>1558</v>
      </c>
      <c r="E25" s="233" t="s">
        <v>1559</v>
      </c>
      <c r="F25" s="2" t="s">
        <v>10</v>
      </c>
      <c r="G25" s="2" t="s">
        <v>100</v>
      </c>
      <c r="H25" s="2" t="s">
        <v>16</v>
      </c>
      <c r="I25" s="2" t="s">
        <v>4</v>
      </c>
      <c r="J25" s="2" t="s">
        <v>316</v>
      </c>
      <c r="K25" s="234" t="s">
        <v>1560</v>
      </c>
      <c r="L25" s="234" t="s">
        <v>1561</v>
      </c>
      <c r="M25" s="2" t="s">
        <v>1426</v>
      </c>
      <c r="N25" s="2" t="s">
        <v>1562</v>
      </c>
      <c r="O25" s="2" t="s">
        <v>1195</v>
      </c>
      <c r="P25" s="2" t="s">
        <v>20</v>
      </c>
      <c r="Q25" s="2" t="s">
        <v>1436</v>
      </c>
      <c r="R25" s="2" t="s">
        <v>1476</v>
      </c>
      <c r="S25" s="2" t="s">
        <v>1442</v>
      </c>
      <c r="T25" s="945" t="s">
        <v>1520</v>
      </c>
    </row>
    <row r="26" spans="1:20" hidden="1">
      <c r="A26" s="2" t="str">
        <f t="shared" si="0"/>
        <v>ZJKT2_5027</v>
      </c>
      <c r="B26" s="235" t="s">
        <v>1563</v>
      </c>
      <c r="C26" s="236" t="s">
        <v>1564</v>
      </c>
      <c r="D26" s="236" t="s">
        <v>1565</v>
      </c>
      <c r="E26" s="236" t="s">
        <v>1223</v>
      </c>
      <c r="F26" s="237" t="s">
        <v>10</v>
      </c>
      <c r="G26" s="2" t="s">
        <v>100</v>
      </c>
      <c r="H26" s="818" t="s">
        <v>1423</v>
      </c>
      <c r="I26" s="237" t="s">
        <v>4</v>
      </c>
      <c r="J26" s="5" t="s">
        <v>314</v>
      </c>
      <c r="K26" s="227" t="s">
        <v>1566</v>
      </c>
      <c r="L26" s="227" t="s">
        <v>1567</v>
      </c>
      <c r="M26" s="2" t="s">
        <v>11</v>
      </c>
      <c r="N26" s="2" t="s">
        <v>1568</v>
      </c>
      <c r="O26" s="2" t="s">
        <v>1195</v>
      </c>
      <c r="P26" s="2" t="s">
        <v>20</v>
      </c>
      <c r="Q26" s="2" t="s">
        <v>1569</v>
      </c>
      <c r="R26" s="2" t="s">
        <v>1441</v>
      </c>
      <c r="S26" s="2" t="s">
        <v>1442</v>
      </c>
      <c r="T26" s="945" t="s">
        <v>1520</v>
      </c>
    </row>
    <row r="27" spans="1:20" hidden="1">
      <c r="A27" s="2" t="str">
        <f t="shared" si="0"/>
        <v>JAK0589</v>
      </c>
      <c r="B27" s="239" t="s">
        <v>1570</v>
      </c>
      <c r="C27" s="2" t="s">
        <v>1571</v>
      </c>
      <c r="D27" s="2" t="s">
        <v>1572</v>
      </c>
      <c r="E27" s="2" t="s">
        <v>1366</v>
      </c>
      <c r="F27" s="237" t="s">
        <v>10</v>
      </c>
      <c r="G27" s="2" t="s">
        <v>100</v>
      </c>
      <c r="H27" s="818" t="s">
        <v>1423</v>
      </c>
      <c r="I27" s="237" t="s">
        <v>4</v>
      </c>
      <c r="J27" s="5" t="s">
        <v>179</v>
      </c>
      <c r="K27" s="227" t="s">
        <v>1573</v>
      </c>
      <c r="L27" s="227" t="s">
        <v>1574</v>
      </c>
      <c r="M27" s="5" t="s">
        <v>11</v>
      </c>
      <c r="N27" s="5" t="s">
        <v>1575</v>
      </c>
      <c r="O27" s="2" t="s">
        <v>763</v>
      </c>
      <c r="P27" s="2" t="s">
        <v>1576</v>
      </c>
      <c r="Q27" s="2" t="s">
        <v>1569</v>
      </c>
      <c r="R27" s="2" t="s">
        <v>1449</v>
      </c>
      <c r="S27" s="2" t="s">
        <v>1577</v>
      </c>
      <c r="T27" s="945" t="s">
        <v>1520</v>
      </c>
    </row>
    <row r="28" spans="1:20" hidden="1">
      <c r="A28" s="5" t="str">
        <f>D28</f>
        <v>03BKS499</v>
      </c>
      <c r="B28" s="232">
        <v>4054934041</v>
      </c>
      <c r="C28" s="232">
        <v>125959104</v>
      </c>
      <c r="D28" s="232" t="s">
        <v>1578</v>
      </c>
      <c r="E28" s="232" t="s">
        <v>1301</v>
      </c>
      <c r="F28" s="232" t="s">
        <v>10</v>
      </c>
      <c r="G28" s="232" t="s">
        <v>100</v>
      </c>
      <c r="H28" s="232" t="s">
        <v>1444</v>
      </c>
      <c r="I28" s="232" t="s">
        <v>4</v>
      </c>
      <c r="J28" s="219" t="s">
        <v>314</v>
      </c>
      <c r="K28" s="406">
        <v>107.03364000000001</v>
      </c>
      <c r="L28" s="406">
        <v>-6.2459300000000004</v>
      </c>
      <c r="M28" s="232" t="s">
        <v>1426</v>
      </c>
      <c r="N28" s="232" t="s">
        <v>1579</v>
      </c>
      <c r="O28" s="232" t="s">
        <v>53</v>
      </c>
      <c r="P28" s="232" t="s">
        <v>13</v>
      </c>
      <c r="Q28" s="232" t="s">
        <v>1436</v>
      </c>
      <c r="R28" s="232" t="s">
        <v>1580</v>
      </c>
      <c r="S28" s="232" t="s">
        <v>1581</v>
      </c>
      <c r="T28" s="945" t="s">
        <v>1520</v>
      </c>
    </row>
    <row r="29" spans="1:20" hidden="1">
      <c r="A29" s="2" t="s">
        <v>1582</v>
      </c>
      <c r="B29" s="2">
        <v>30572360031</v>
      </c>
      <c r="C29" s="2">
        <v>1260951003</v>
      </c>
      <c r="D29" s="2" t="s">
        <v>1582</v>
      </c>
      <c r="E29" s="2" t="s">
        <v>1583</v>
      </c>
      <c r="F29" s="2" t="s">
        <v>10</v>
      </c>
      <c r="G29" s="2" t="s">
        <v>100</v>
      </c>
      <c r="H29" s="2" t="s">
        <v>16</v>
      </c>
      <c r="I29" s="2" t="s">
        <v>4</v>
      </c>
      <c r="J29" s="2" t="s">
        <v>314</v>
      </c>
      <c r="K29" s="240" t="s">
        <v>1584</v>
      </c>
      <c r="L29" s="240" t="s">
        <v>1585</v>
      </c>
      <c r="M29" s="2" t="s">
        <v>11</v>
      </c>
      <c r="N29" s="2" t="s">
        <v>1586</v>
      </c>
      <c r="O29" s="2" t="s">
        <v>26</v>
      </c>
      <c r="P29" s="2" t="s">
        <v>13</v>
      </c>
      <c r="Q29" s="2" t="s">
        <v>1436</v>
      </c>
      <c r="R29" s="5" t="s">
        <v>1587</v>
      </c>
      <c r="S29" s="2" t="s">
        <v>1442</v>
      </c>
      <c r="T29" s="2"/>
    </row>
    <row r="30" spans="1:20" s="246" customFormat="1" hidden="1">
      <c r="A30" s="5" t="s">
        <v>1588</v>
      </c>
      <c r="B30" s="5">
        <f>VLOOKUP(A30,[3]Progress!$A$4:$AO$175,2,0)</f>
        <v>23054781231</v>
      </c>
      <c r="C30" s="5">
        <f>VLOOKUP(A30,[3]Progress!$A$4:$AO$175,3,0)</f>
        <v>125927123</v>
      </c>
      <c r="D30" s="5" t="str">
        <f>A30</f>
        <v>BOG0140</v>
      </c>
      <c r="E30" s="5" t="str">
        <f>VLOOKUP(A30,[3]Progress!$A$4:$AO$175,5,0)</f>
        <v>BOJONG GEDE BOGOR</v>
      </c>
      <c r="F30" s="5" t="str">
        <f>VLOOKUP(A30,[3]Progress!$A$4:$AP$249,31,0)</f>
        <v xml:space="preserve">28.11.19 : rehunting, take over mitra
12.11.19 : gagal IW kandidat F, rehunting kand G
11.11.19 : IW OG kandidat F
06.11.19 : kandidat F OK
04.11.19 : submit kandidat F
24.10.19 : failed IW, rehunting kandidat F
18.10.19 : still IW on going kandidat E, warga susah untuk dikumpulkan 
01.10.19 : kandidat E OK, BAN OG
26.09.19 : kandidat D NOK, submit kandidat E
24.09.19 : submit kandidat D
18.09.19 : Kandidat A gagal IW, submit kandidat B dan C, kandidat B OK
10.09.19 : terdapat 5 ahli waris, 3 ahli waris sudah menyetujui harga sewa 15jt/thn dengan skema 2+3+5+5+5. menunggu keputusan 2 ahli waris
09.09.19 : waiitng keputusan keluarga untuk harga sewa lahan
05.09.19 : approve TNP oleh Pak Olly 
04.09.19 : approve RNP oleh Pak Parlin
</v>
      </c>
      <c r="G30" s="5" t="str">
        <f>VLOOKUP(A30,[3]Progress!$A$4:$AP$249,32,0)</f>
        <v>Visit kandidat Pak yadi, propose penurunan ketinggian menjadi 25m</v>
      </c>
      <c r="H30" s="5" t="str">
        <f>VLOOKUP(A30,[3]Progress!$A$4:$AP$249,11,0)</f>
        <v>SMARTFREN</v>
      </c>
      <c r="I30" s="5" t="s">
        <v>4</v>
      </c>
      <c r="J30" s="5" t="s">
        <v>11</v>
      </c>
      <c r="K30" s="241" t="s">
        <v>1949</v>
      </c>
      <c r="L30" s="241" t="s">
        <v>26</v>
      </c>
      <c r="M30" s="5" t="s">
        <v>1950</v>
      </c>
      <c r="N30" s="5" t="s">
        <v>1951</v>
      </c>
      <c r="O30" s="5" t="s">
        <v>1494</v>
      </c>
      <c r="P30" s="5" t="s">
        <v>1577</v>
      </c>
      <c r="Q30" s="5" t="str">
        <f>VLOOKUP(A30,[3]Progress!$A$4:$AO$175,38,0)</f>
        <v>106.79063</v>
      </c>
      <c r="R30" s="5" t="s">
        <v>1494</v>
      </c>
      <c r="S30" s="5" t="s">
        <v>1577</v>
      </c>
      <c r="T30" s="5"/>
    </row>
    <row r="31" spans="1:20" s="246" customFormat="1" hidden="1">
      <c r="A31" s="5" t="s">
        <v>1589</v>
      </c>
      <c r="B31" s="22">
        <f>VLOOKUP(A31,[3]Progress!$A$4:$AO$175,2,0)</f>
        <v>230579340231</v>
      </c>
      <c r="C31" s="5">
        <f>VLOOKUP(A31,[3]Progress!$A$4:$AO$175,3,0)</f>
        <v>1317891023</v>
      </c>
      <c r="D31" s="5" t="str">
        <f>A31</f>
        <v>ZJKT2_4241</v>
      </c>
      <c r="E31" s="5" t="str">
        <f>VLOOKUP(A31,[3]Progress!$A$4:$AO$175,5,0)</f>
        <v>PASANGGRAHAN SOLEAR</v>
      </c>
      <c r="F31" s="5">
        <f>VLOOKUP(A31,[3]Progress!$A$4:$AP$249,31,0)</f>
        <v>0</v>
      </c>
      <c r="G31" s="5">
        <f>VLOOKUP(A31,[3]Progress!$A$4:$AP$249,32,0)</f>
        <v>0</v>
      </c>
      <c r="H31" s="5" t="str">
        <f>VLOOKUP(A31,[3]Progress!$A$4:$AP$249,11,0)</f>
        <v>SMARTFREN</v>
      </c>
      <c r="I31" s="5" t="s">
        <v>4</v>
      </c>
      <c r="J31" s="5" t="s">
        <v>11</v>
      </c>
      <c r="K31" s="241" t="s">
        <v>316</v>
      </c>
      <c r="L31" s="241" t="s">
        <v>19</v>
      </c>
      <c r="M31" s="5">
        <v>-6.290222</v>
      </c>
      <c r="N31" s="5">
        <v>106.42242</v>
      </c>
      <c r="O31" s="5" t="s">
        <v>1441</v>
      </c>
      <c r="P31" s="5" t="s">
        <v>1442</v>
      </c>
      <c r="Q31" s="5">
        <f>VLOOKUP(A31,[3]Progress!$A$4:$AO$175,38,0)</f>
        <v>106.42242</v>
      </c>
      <c r="R31" s="5" t="s">
        <v>1441</v>
      </c>
      <c r="S31" s="5" t="s">
        <v>1442</v>
      </c>
      <c r="T31" s="5"/>
    </row>
    <row r="32" spans="1:20" s="246" customFormat="1" hidden="1">
      <c r="A32" s="5" t="s">
        <v>1590</v>
      </c>
      <c r="B32" s="22">
        <f>VLOOKUP(A32,[3]Progress!$A$4:$AO$175,2,0)</f>
        <v>30572160031</v>
      </c>
      <c r="C32" s="5">
        <f>VLOOKUP(A32,[3]Progress!$A$4:$AO$175,3,0)</f>
        <v>1317481003</v>
      </c>
      <c r="D32" s="5" t="str">
        <f t="shared" ref="D32:D95" si="1">A32</f>
        <v>JAW-BT-TGR-0031</v>
      </c>
      <c r="E32" s="5" t="str">
        <f>VLOOKUP(A32,[3]Progress!$A$4:$AO$175,5,0)</f>
        <v>Kayu Agung Sepatan</v>
      </c>
      <c r="F32" s="5">
        <f>VLOOKUP(A32,[3]Progress!$A$4:$AP$249,31,0)</f>
        <v>0</v>
      </c>
      <c r="G32" s="5">
        <f>VLOOKUP(A32,[3]Progress!$A$4:$AP$249,32,0)</f>
        <v>0</v>
      </c>
      <c r="H32" s="5" t="str">
        <f>VLOOKUP(A32,[3]Progress!$A$4:$AP$249,11,0)</f>
        <v>XL</v>
      </c>
      <c r="I32" s="5" t="s">
        <v>4</v>
      </c>
      <c r="J32" s="5" t="s">
        <v>11</v>
      </c>
      <c r="K32" s="241" t="s">
        <v>179</v>
      </c>
      <c r="L32" s="241" t="s">
        <v>19</v>
      </c>
      <c r="M32" s="5" t="s">
        <v>1952</v>
      </c>
      <c r="N32" s="5" t="s">
        <v>1953</v>
      </c>
      <c r="O32" s="5" t="s">
        <v>1489</v>
      </c>
      <c r="P32" s="5" t="s">
        <v>1442</v>
      </c>
      <c r="Q32" s="5" t="str">
        <f>VLOOKUP(A32,[3]Progress!$A$4:$AO$175,38,0)</f>
        <v>106.592519°</v>
      </c>
      <c r="R32" s="5" t="s">
        <v>1489</v>
      </c>
      <c r="S32" s="5" t="s">
        <v>1442</v>
      </c>
      <c r="T32" s="5"/>
    </row>
    <row r="33" spans="1:20" s="246" customFormat="1" hidden="1">
      <c r="A33" s="5" t="s">
        <v>1591</v>
      </c>
      <c r="B33" s="22">
        <f>VLOOKUP(A33,[3]Progress!$A$4:$AO$175,2,0)</f>
        <v>30572190031</v>
      </c>
      <c r="C33" s="5">
        <f>VLOOKUP(A33,[3]Progress!$A$4:$AO$175,3,0)</f>
        <v>1317511003</v>
      </c>
      <c r="D33" s="5" t="str">
        <f t="shared" si="1"/>
        <v>JAW-BT-TGR-0049</v>
      </c>
      <c r="E33" s="5" t="str">
        <f>VLOOKUP(A33,[3]Progress!$A$4:$AO$175,5,0)</f>
        <v>Griya Sukatani Mekarsari</v>
      </c>
      <c r="F33" s="5">
        <f>VLOOKUP(A33,[3]Progress!$A$4:$AP$249,31,0)</f>
        <v>0</v>
      </c>
      <c r="G33" s="5">
        <f>VLOOKUP(A33,[3]Progress!$A$4:$AP$249,32,0)</f>
        <v>0</v>
      </c>
      <c r="H33" s="5" t="str">
        <f>VLOOKUP(A33,[3]Progress!$A$4:$AP$249,11,0)</f>
        <v>XL</v>
      </c>
      <c r="I33" s="5" t="s">
        <v>4</v>
      </c>
      <c r="J33" s="5" t="s">
        <v>11</v>
      </c>
      <c r="K33" s="241" t="s">
        <v>316</v>
      </c>
      <c r="L33" s="241" t="s">
        <v>19</v>
      </c>
      <c r="M33" s="5" t="s">
        <v>1954</v>
      </c>
      <c r="N33" s="5" t="s">
        <v>1955</v>
      </c>
      <c r="O33" s="5" t="s">
        <v>1489</v>
      </c>
      <c r="P33" s="5" t="s">
        <v>1442</v>
      </c>
      <c r="Q33" s="5" t="str">
        <f>VLOOKUP(A33,[3]Progress!$A$4:$AO$175,38,0)</f>
        <v>106.532867°</v>
      </c>
      <c r="R33" s="5" t="s">
        <v>1489</v>
      </c>
      <c r="S33" s="5" t="s">
        <v>1442</v>
      </c>
      <c r="T33" s="5"/>
    </row>
    <row r="34" spans="1:20" s="246" customFormat="1" hidden="1">
      <c r="A34" s="5" t="s">
        <v>1592</v>
      </c>
      <c r="B34" s="22">
        <f>VLOOKUP(A34,[3]Progress!$A$4:$AO$175,2,0)</f>
        <v>230579400231</v>
      </c>
      <c r="C34" s="5">
        <f>VLOOKUP(A34,[3]Progress!$A$4:$AO$175,3,0)</f>
        <v>1317911023</v>
      </c>
      <c r="D34" s="5" t="str">
        <f t="shared" si="1"/>
        <v>ZJKT2_6065</v>
      </c>
      <c r="E34" s="5" t="str">
        <f>VLOOKUP(A34,[3]Progress!$A$4:$AO$175,5,0)</f>
        <v>CISAIT KRAGILAN</v>
      </c>
      <c r="F34" s="5">
        <f>VLOOKUP(A34,[3]Progress!$A$4:$AP$249,31,0)</f>
        <v>0</v>
      </c>
      <c r="G34" s="5">
        <f>VLOOKUP(A34,[3]Progress!$A$4:$AP$249,32,0)</f>
        <v>0</v>
      </c>
      <c r="H34" s="5" t="str">
        <f>VLOOKUP(A34,[3]Progress!$A$4:$AP$249,11,0)</f>
        <v>SMARTFREN</v>
      </c>
      <c r="I34" s="5" t="s">
        <v>4</v>
      </c>
      <c r="J34" s="5" t="s">
        <v>11</v>
      </c>
      <c r="K34" s="241" t="s">
        <v>314</v>
      </c>
      <c r="L34" s="241" t="s">
        <v>772</v>
      </c>
      <c r="M34" s="5">
        <v>-6.1526899999999998</v>
      </c>
      <c r="N34" s="5">
        <v>106.26248</v>
      </c>
      <c r="O34" s="5" t="s">
        <v>1489</v>
      </c>
      <c r="P34" s="5" t="s">
        <v>1442</v>
      </c>
      <c r="Q34" s="5">
        <f>VLOOKUP(A34,[3]Progress!$A$4:$AO$175,38,0)</f>
        <v>106.26248</v>
      </c>
      <c r="R34" s="5" t="s">
        <v>1489</v>
      </c>
      <c r="S34" s="5" t="s">
        <v>1442</v>
      </c>
      <c r="T34" s="5"/>
    </row>
    <row r="35" spans="1:20" hidden="1">
      <c r="A35" s="2" t="s">
        <v>1593</v>
      </c>
      <c r="B35" s="61">
        <v>230580760231</v>
      </c>
      <c r="C35" s="2">
        <v>1261571023</v>
      </c>
      <c r="D35" s="2" t="s">
        <v>1593</v>
      </c>
      <c r="E35" s="2" t="s">
        <v>1277</v>
      </c>
      <c r="F35" s="2" t="s">
        <v>10</v>
      </c>
      <c r="G35" s="2" t="s">
        <v>100</v>
      </c>
      <c r="H35" s="2" t="s">
        <v>1423</v>
      </c>
      <c r="I35" s="2">
        <v>-6.5662700000000003</v>
      </c>
      <c r="J35" s="2" t="s">
        <v>11</v>
      </c>
      <c r="K35" s="240" t="s">
        <v>1594</v>
      </c>
      <c r="L35" s="240" t="s">
        <v>26</v>
      </c>
      <c r="M35" s="2" t="s">
        <v>13</v>
      </c>
      <c r="N35" s="2" t="s">
        <v>1436</v>
      </c>
      <c r="O35" s="2" t="s">
        <v>1489</v>
      </c>
      <c r="P35" s="2" t="s">
        <v>1442</v>
      </c>
      <c r="Q35" s="2" t="s">
        <v>1436</v>
      </c>
      <c r="R35" s="2" t="s">
        <v>1489</v>
      </c>
      <c r="S35" s="2" t="s">
        <v>1442</v>
      </c>
      <c r="T35" s="2" t="s">
        <v>1595</v>
      </c>
    </row>
    <row r="36" spans="1:20" hidden="1">
      <c r="A36" s="2" t="s">
        <v>1596</v>
      </c>
      <c r="B36" s="61">
        <f>VLOOKUP(A36,[3]Progress!$A$4:$AO$175,2,0)</f>
        <v>230580750231</v>
      </c>
      <c r="C36" s="2">
        <f>VLOOKUP(A36,[3]Progress!$A$4:$AO$175,3,0)</f>
        <v>1261561023</v>
      </c>
      <c r="D36" s="2" t="str">
        <f t="shared" si="1"/>
        <v>ZBGR_4671</v>
      </c>
      <c r="E36" s="2" t="str">
        <f>VLOOKUP(A36,[3]Progress!$A$4:$AO$175,5,0)</f>
        <v>SUKARESMI TAMANSARI</v>
      </c>
      <c r="F36" s="2">
        <f>VLOOKUP(A36,[3]Progress!$A$4:$AP$249,31,0)</f>
        <v>0</v>
      </c>
      <c r="G36" s="2">
        <f>VLOOKUP(A36,[3]Progress!$A$4:$AP$249,32,0)</f>
        <v>0</v>
      </c>
      <c r="H36" s="2" t="str">
        <f>VLOOKUP(A36,[3]Progress!$A$4:$AP$249,11,0)</f>
        <v>SMARTFREN</v>
      </c>
      <c r="I36" s="2" t="s">
        <v>4</v>
      </c>
      <c r="J36" s="2" t="s">
        <v>11</v>
      </c>
      <c r="K36" s="240" t="s">
        <v>179</v>
      </c>
      <c r="L36" s="240" t="s">
        <v>26</v>
      </c>
      <c r="M36" s="2" t="s">
        <v>1956</v>
      </c>
      <c r="N36" s="2" t="s">
        <v>1957</v>
      </c>
      <c r="O36" s="2" t="s">
        <v>1489</v>
      </c>
      <c r="P36" s="2" t="s">
        <v>1442</v>
      </c>
      <c r="Q36" s="2" t="str">
        <f>VLOOKUP(A36,[3]Progress!$A$4:$AO$175,38,0)</f>
        <v>106.7604</v>
      </c>
      <c r="R36" s="242" t="s">
        <v>1489</v>
      </c>
      <c r="S36" s="242" t="s">
        <v>1442</v>
      </c>
      <c r="T36" s="2" t="s">
        <v>1595</v>
      </c>
    </row>
    <row r="37" spans="1:20" hidden="1">
      <c r="A37" s="2" t="s">
        <v>1597</v>
      </c>
      <c r="B37" s="61">
        <f>VLOOKUP(A37,[3]Progress!$A$4:$AO$175,2,0)</f>
        <v>230579570231</v>
      </c>
      <c r="C37" s="2">
        <f>VLOOKUP(A37,[3]Progress!$A$4:$AO$175,3,0)</f>
        <v>1317921023</v>
      </c>
      <c r="D37" s="2" t="str">
        <f t="shared" si="1"/>
        <v>ZJKT2_5971</v>
      </c>
      <c r="E37" s="2" t="str">
        <f>VLOOKUP(A37,[3]Progress!$A$4:$AO$175,5,0)</f>
        <v>PEMATANG TIGARAKSA</v>
      </c>
      <c r="F37" s="2">
        <f>VLOOKUP(A37,[3]Progress!$A$4:$AP$249,31,0)</f>
        <v>0</v>
      </c>
      <c r="G37" s="2">
        <f>VLOOKUP(A37,[3]Progress!$A$4:$AP$249,32,0)</f>
        <v>0</v>
      </c>
      <c r="H37" s="2" t="str">
        <f>VLOOKUP(A37,[3]Progress!$A$4:$AP$249,11,0)</f>
        <v>SMARTFREN</v>
      </c>
      <c r="I37" s="2" t="s">
        <v>4</v>
      </c>
      <c r="J37" s="2" t="s">
        <v>11</v>
      </c>
      <c r="K37" s="240" t="s">
        <v>316</v>
      </c>
      <c r="L37" s="240" t="s">
        <v>19</v>
      </c>
      <c r="M37" s="2" t="s">
        <v>1958</v>
      </c>
      <c r="N37" s="2" t="s">
        <v>1959</v>
      </c>
      <c r="O37" s="2" t="s">
        <v>1441</v>
      </c>
      <c r="P37" s="2" t="s">
        <v>1577</v>
      </c>
      <c r="Q37" s="2" t="str">
        <f>VLOOKUP(A37,[3]Progress!$A$4:$AO$175,38,0)</f>
        <v>106.45417</v>
      </c>
      <c r="R37" s="2" t="s">
        <v>1441</v>
      </c>
      <c r="S37" s="2" t="s">
        <v>1577</v>
      </c>
      <c r="T37" s="2" t="s">
        <v>1598</v>
      </c>
    </row>
    <row r="38" spans="1:20" hidden="1">
      <c r="A38" s="2" t="s">
        <v>1599</v>
      </c>
      <c r="B38" s="61">
        <f>VLOOKUP(A38,[3]Progress!$A$4:$AO$175,2,0)</f>
        <v>230580660231</v>
      </c>
      <c r="C38" s="2">
        <f>VLOOKUP(A38,[3]Progress!$A$4:$AO$175,3,0)</f>
        <v>1317961023</v>
      </c>
      <c r="D38" s="2" t="str">
        <f t="shared" si="1"/>
        <v>ZJKT2_6101</v>
      </c>
      <c r="E38" s="2" t="str">
        <f>VLOOKUP(A38,[3]Progress!$A$4:$AO$175,5,0)</f>
        <v>SOLEAR BANTEN</v>
      </c>
      <c r="F38" s="2">
        <f>VLOOKUP(A38,[3]Progress!$A$4:$AP$249,31,0)</f>
        <v>0</v>
      </c>
      <c r="G38" s="2">
        <f>VLOOKUP(A38,[3]Progress!$A$4:$AP$249,32,0)</f>
        <v>0</v>
      </c>
      <c r="H38" s="2" t="str">
        <f>VLOOKUP(A38,[3]Progress!$A$4:$AP$249,11,0)</f>
        <v>SMARTFREN</v>
      </c>
      <c r="I38" s="2" t="s">
        <v>4</v>
      </c>
      <c r="J38" s="2" t="s">
        <v>11</v>
      </c>
      <c r="K38" s="240" t="s">
        <v>316</v>
      </c>
      <c r="L38" s="240" t="s">
        <v>19</v>
      </c>
      <c r="M38" s="2" t="s">
        <v>1960</v>
      </c>
      <c r="N38" s="2" t="s">
        <v>1961</v>
      </c>
      <c r="O38" s="2" t="s">
        <v>1441</v>
      </c>
      <c r="P38" s="2" t="s">
        <v>1577</v>
      </c>
      <c r="Q38" s="2" t="str">
        <f>VLOOKUP(A38,[3]Progress!$A$4:$AO$175,38,0)</f>
        <v>106.43283</v>
      </c>
      <c r="R38" s="2" t="s">
        <v>1441</v>
      </c>
      <c r="S38" s="2" t="s">
        <v>1577</v>
      </c>
      <c r="T38" s="2" t="s">
        <v>1598</v>
      </c>
    </row>
    <row r="39" spans="1:20" hidden="1">
      <c r="A39" s="2" t="s">
        <v>1600</v>
      </c>
      <c r="B39" s="61">
        <f>VLOOKUP(A39,[3]Progress!$A$4:$AO$175,2,0)</f>
        <v>30572020031</v>
      </c>
      <c r="C39" s="2">
        <f>VLOOKUP(A39,[3]Progress!$A$4:$AO$175,3,0)</f>
        <v>1317411003</v>
      </c>
      <c r="D39" s="2" t="str">
        <f t="shared" si="1"/>
        <v>JAW-BT-TGR-0029</v>
      </c>
      <c r="E39" s="2" t="str">
        <f>VLOOKUP(A39,[3]Progress!$A$4:$AO$175,5,0)</f>
        <v>Karet Sepatan Tangerang</v>
      </c>
      <c r="F39" s="2">
        <f>VLOOKUP(A39,[3]Progress!$A$4:$AP$249,31,0)</f>
        <v>0</v>
      </c>
      <c r="G39" s="2">
        <f>VLOOKUP(A39,[3]Progress!$A$4:$AP$249,32,0)</f>
        <v>0</v>
      </c>
      <c r="H39" s="2" t="str">
        <f>VLOOKUP(A39,[3]Progress!$A$4:$AP$249,11,0)</f>
        <v>XL</v>
      </c>
      <c r="I39" s="2" t="s">
        <v>4</v>
      </c>
      <c r="J39" s="2" t="s">
        <v>11</v>
      </c>
      <c r="K39" s="240" t="s">
        <v>178</v>
      </c>
      <c r="L39" s="240" t="s">
        <v>19</v>
      </c>
      <c r="M39" s="2" t="s">
        <v>1962</v>
      </c>
      <c r="N39" s="2" t="s">
        <v>1963</v>
      </c>
      <c r="O39" s="2" t="s">
        <v>1489</v>
      </c>
      <c r="P39" s="2" t="s">
        <v>1442</v>
      </c>
      <c r="Q39" s="2" t="str">
        <f>VLOOKUP(A39,[3]Progress!$A$4:$AO$175,38,0)</f>
        <v>106.581139°</v>
      </c>
      <c r="R39" s="2" t="s">
        <v>1489</v>
      </c>
      <c r="S39" s="2" t="s">
        <v>1442</v>
      </c>
      <c r="T39" s="2" t="s">
        <v>1598</v>
      </c>
    </row>
    <row r="40" spans="1:20" hidden="1">
      <c r="A40" s="2" t="s">
        <v>1601</v>
      </c>
      <c r="B40" s="61">
        <f>VLOOKUP(A40,[3]Progress!$A$4:$AO$175,2,0)</f>
        <v>30572070031</v>
      </c>
      <c r="C40" s="2">
        <f>VLOOKUP(A40,[3]Progress!$A$4:$AO$175,3,0)</f>
        <v>1260891003</v>
      </c>
      <c r="D40" s="2" t="str">
        <f t="shared" si="1"/>
        <v>JAW-JB-CBI-0066</v>
      </c>
      <c r="E40" s="2" t="str">
        <f>VLOOKUP(A40,[3]Progress!$A$4:$AO$175,5,0)</f>
        <v>Pasirmukti Citeureup</v>
      </c>
      <c r="F40" s="2">
        <f>VLOOKUP(A40,[3]Progress!$A$4:$AP$249,31,0)</f>
        <v>0</v>
      </c>
      <c r="G40" s="2">
        <f>VLOOKUP(A40,[3]Progress!$A$4:$AP$249,32,0)</f>
        <v>0</v>
      </c>
      <c r="H40" s="2" t="str">
        <f>VLOOKUP(A40,[3]Progress!$A$4:$AP$249,11,0)</f>
        <v>XL</v>
      </c>
      <c r="I40" s="2" t="s">
        <v>4</v>
      </c>
      <c r="J40" s="2" t="s">
        <v>11</v>
      </c>
      <c r="K40" s="240" t="s">
        <v>314</v>
      </c>
      <c r="L40" s="240" t="s">
        <v>26</v>
      </c>
      <c r="M40" s="2" t="s">
        <v>1964</v>
      </c>
      <c r="N40" s="2" t="s">
        <v>1965</v>
      </c>
      <c r="O40" s="2" t="s">
        <v>1494</v>
      </c>
      <c r="P40" s="2" t="s">
        <v>1577</v>
      </c>
      <c r="Q40" s="2" t="str">
        <f>VLOOKUP(A40,[3]Progress!$A$4:$AO$175,38,0)</f>
        <v>106.899817°</v>
      </c>
      <c r="R40" s="2" t="s">
        <v>1494</v>
      </c>
      <c r="S40" s="2" t="s">
        <v>1577</v>
      </c>
      <c r="T40" s="2" t="s">
        <v>1598</v>
      </c>
    </row>
    <row r="41" spans="1:20" hidden="1">
      <c r="A41" s="2" t="s">
        <v>1602</v>
      </c>
      <c r="B41" s="61">
        <f>VLOOKUP(A41,[3]Progress!$A$4:$AO$175,2,0)</f>
        <v>30572150031</v>
      </c>
      <c r="C41" s="2">
        <f>VLOOKUP(A41,[3]Progress!$A$4:$AO$175,3,0)</f>
        <v>1260931003</v>
      </c>
      <c r="D41" s="2" t="str">
        <f t="shared" si="1"/>
        <v>JAW-JB-CBI-0071</v>
      </c>
      <c r="E41" s="2" t="str">
        <f>VLOOKUP(A41,[3]Progress!$A$4:$AO$175,5,0)</f>
        <v>Pabuaran Kemang</v>
      </c>
      <c r="F41" s="2">
        <f>VLOOKUP(A41,[3]Progress!$A$4:$AP$249,31,0)</f>
        <v>0</v>
      </c>
      <c r="G41" s="2">
        <f>VLOOKUP(A41,[3]Progress!$A$4:$AP$249,32,0)</f>
        <v>0</v>
      </c>
      <c r="H41" s="2" t="str">
        <f>VLOOKUP(A41,[3]Progress!$A$4:$AP$249,11,0)</f>
        <v>XL</v>
      </c>
      <c r="I41" s="2" t="s">
        <v>4</v>
      </c>
      <c r="J41" s="2" t="s">
        <v>11</v>
      </c>
      <c r="K41" s="240" t="s">
        <v>316</v>
      </c>
      <c r="L41" s="240" t="s">
        <v>26</v>
      </c>
      <c r="M41" s="2">
        <v>-6.504181</v>
      </c>
      <c r="N41" s="2">
        <v>106.749386</v>
      </c>
      <c r="O41" s="2" t="s">
        <v>1494</v>
      </c>
      <c r="P41" s="2" t="s">
        <v>1577</v>
      </c>
      <c r="Q41" s="2">
        <f>VLOOKUP(A41,[3]Progress!$A$4:$AO$175,38,0)</f>
        <v>106.749386</v>
      </c>
      <c r="R41" s="2" t="s">
        <v>1494</v>
      </c>
      <c r="S41" s="2" t="s">
        <v>1577</v>
      </c>
      <c r="T41" s="2" t="s">
        <v>1598</v>
      </c>
    </row>
    <row r="42" spans="1:20" hidden="1">
      <c r="A42" s="2" t="s">
        <v>1603</v>
      </c>
      <c r="B42" s="61">
        <f>VLOOKUP(A42,[3]Progress!$A$4:$AO$175,2,0)</f>
        <v>30572230031</v>
      </c>
      <c r="C42" s="2">
        <f>VLOOKUP(A42,[3]Progress!$A$4:$AO$175,3,0)</f>
        <v>1260941003</v>
      </c>
      <c r="D42" s="2" t="str">
        <f t="shared" si="1"/>
        <v>JAW-JB-CBI-0063</v>
      </c>
      <c r="E42" s="2" t="str">
        <f>VLOOKUP(A42,[3]Progress!$A$4:$AO$175,5,0)</f>
        <v>Jalan Raya Puspitek</v>
      </c>
      <c r="F42" s="2">
        <f>VLOOKUP(A42,[3]Progress!$A$4:$AP$249,31,0)</f>
        <v>0</v>
      </c>
      <c r="G42" s="2">
        <f>VLOOKUP(A42,[3]Progress!$A$4:$AP$249,32,0)</f>
        <v>0</v>
      </c>
      <c r="H42" s="2" t="str">
        <f>VLOOKUP(A42,[3]Progress!$A$4:$AP$249,11,0)</f>
        <v>XL</v>
      </c>
      <c r="I42" s="2" t="s">
        <v>4</v>
      </c>
      <c r="J42" s="2" t="s">
        <v>11</v>
      </c>
      <c r="K42" s="240" t="s">
        <v>179</v>
      </c>
      <c r="L42" s="240" t="s">
        <v>26</v>
      </c>
      <c r="M42" s="2" t="s">
        <v>1966</v>
      </c>
      <c r="N42" s="2" t="s">
        <v>1967</v>
      </c>
      <c r="O42" s="2" t="s">
        <v>1587</v>
      </c>
      <c r="P42" s="2" t="s">
        <v>1442</v>
      </c>
      <c r="Q42" s="2" t="str">
        <f>VLOOKUP(A42,[3]Progress!$A$4:$AO$175,38,0)</f>
        <v>106.683114</v>
      </c>
      <c r="R42" s="5" t="s">
        <v>1587</v>
      </c>
      <c r="S42" s="2" t="s">
        <v>1442</v>
      </c>
      <c r="T42" s="2" t="s">
        <v>1604</v>
      </c>
    </row>
    <row r="43" spans="1:20" s="246" customFormat="1" hidden="1">
      <c r="A43" s="5" t="s">
        <v>435</v>
      </c>
      <c r="B43" s="22">
        <f>VLOOKUP(A43,[3]Progress!$A$4:$AO$175,2,0)</f>
        <v>230575230231</v>
      </c>
      <c r="C43" s="5">
        <f>VLOOKUP(A43,[3]Progress!$A$4:$AO$175,3,0)</f>
        <v>1261051023</v>
      </c>
      <c r="D43" s="5" t="str">
        <f t="shared" si="1"/>
        <v>ZBGR_4328</v>
      </c>
      <c r="E43" s="5" t="str">
        <f>VLOOKUP(A43,[3]Progress!$A$4:$AO$175,5,0)</f>
        <v>BOJONGGEDE_BOGOR</v>
      </c>
      <c r="F43" s="5">
        <f>VLOOKUP(A43,[3]Progress!$A$4:$AP$249,31,0)</f>
        <v>0</v>
      </c>
      <c r="G43" s="5">
        <f>VLOOKUP(A43,[3]Progress!$A$4:$AP$249,32,0)</f>
        <v>0</v>
      </c>
      <c r="H43" s="5" t="str">
        <f>VLOOKUP(A43,[3]Progress!$A$4:$AP$249,11,0)</f>
        <v>SMARTFREN</v>
      </c>
      <c r="I43" s="5" t="s">
        <v>4</v>
      </c>
      <c r="J43" s="5" t="s">
        <v>11</v>
      </c>
      <c r="K43" s="241" t="s">
        <v>316</v>
      </c>
      <c r="L43" s="241" t="s">
        <v>26</v>
      </c>
      <c r="M43" s="5" t="s">
        <v>1968</v>
      </c>
      <c r="N43" s="5" t="s">
        <v>1969</v>
      </c>
      <c r="O43" s="5" t="s">
        <v>1494</v>
      </c>
      <c r="P43" s="5" t="s">
        <v>1577</v>
      </c>
      <c r="Q43" s="5" t="str">
        <f>VLOOKUP(A43,[3]Progress!$A$4:$AO$175,38,0)</f>
        <v>106.79822</v>
      </c>
      <c r="R43" s="5" t="s">
        <v>1494</v>
      </c>
      <c r="S43" s="5" t="s">
        <v>1577</v>
      </c>
      <c r="T43" s="5" t="s">
        <v>1604</v>
      </c>
    </row>
    <row r="44" spans="1:20" s="246" customFormat="1" hidden="1">
      <c r="A44" s="5" t="s">
        <v>1605</v>
      </c>
      <c r="B44" s="22">
        <f>VLOOKUP(A44,[3]Progress!$A$4:$AO$175,2,0)</f>
        <v>30572220031</v>
      </c>
      <c r="C44" s="5">
        <f>VLOOKUP(A44,[3]Progress!$A$4:$AO$175,3,0)</f>
        <v>1317531003</v>
      </c>
      <c r="D44" s="5" t="str">
        <f t="shared" si="1"/>
        <v>JAW-BT-TGR-0024</v>
      </c>
      <c r="E44" s="5" t="str">
        <f>VLOOKUP(A44,[3]Progress!$A$4:$AO$175,5,0)</f>
        <v>Raya Cisauk BSD</v>
      </c>
      <c r="F44" s="5">
        <f>VLOOKUP(A44,[3]Progress!$A$4:$AP$249,31,0)</f>
        <v>0</v>
      </c>
      <c r="G44" s="5">
        <f>VLOOKUP(A44,[3]Progress!$A$4:$AP$249,32,0)</f>
        <v>0</v>
      </c>
      <c r="H44" s="5" t="str">
        <f>VLOOKUP(A44,[3]Progress!$A$4:$AP$249,11,0)</f>
        <v>XL</v>
      </c>
      <c r="I44" s="5" t="s">
        <v>4</v>
      </c>
      <c r="J44" s="5" t="s">
        <v>11</v>
      </c>
      <c r="K44" s="241" t="s">
        <v>179</v>
      </c>
      <c r="L44" s="241" t="s">
        <v>19</v>
      </c>
      <c r="M44" s="5" t="s">
        <v>1970</v>
      </c>
      <c r="N44" s="5" t="s">
        <v>1429</v>
      </c>
      <c r="O44" s="5" t="s">
        <v>1606</v>
      </c>
      <c r="P44" s="5" t="s">
        <v>1577</v>
      </c>
      <c r="Q44" s="5" t="s">
        <v>1429</v>
      </c>
      <c r="R44" s="5" t="s">
        <v>1606</v>
      </c>
      <c r="S44" s="5" t="s">
        <v>1577</v>
      </c>
      <c r="T44" s="5" t="s">
        <v>1604</v>
      </c>
    </row>
    <row r="45" spans="1:20" hidden="1">
      <c r="A45" s="5" t="s">
        <v>1607</v>
      </c>
      <c r="B45" s="22">
        <f>VLOOKUP(A45,[3]Progress!$A$4:$AO$175,2,0)</f>
        <v>30572310031</v>
      </c>
      <c r="C45" s="5">
        <f>VLOOKUP(A45,[3]Progress!$A$4:$AO$175,3,0)</f>
        <v>1317571003</v>
      </c>
      <c r="D45" s="5" t="str">
        <f t="shared" si="1"/>
        <v>JAW-BT-TGR-0027</v>
      </c>
      <c r="E45" s="5" t="str">
        <f>VLOOKUP(A45,[3]Progress!$A$4:$AO$175,5,0)</f>
        <v>Jatake Rangkasbitung</v>
      </c>
      <c r="F45" s="5">
        <f>VLOOKUP(A45,[3]Progress!$A$4:$AP$249,31,0)</f>
        <v>0</v>
      </c>
      <c r="G45" s="5">
        <f>VLOOKUP(A45,[3]Progress!$A$4:$AP$249,32,0)</f>
        <v>0</v>
      </c>
      <c r="H45" s="5" t="str">
        <f>VLOOKUP(A45,[3]Progress!$A$4:$AP$249,11,0)</f>
        <v>XL</v>
      </c>
      <c r="I45" s="5" t="s">
        <v>4</v>
      </c>
      <c r="J45" s="5" t="s">
        <v>11</v>
      </c>
      <c r="K45" s="241" t="s">
        <v>314</v>
      </c>
      <c r="L45" s="241" t="s">
        <v>19</v>
      </c>
      <c r="M45" s="5" t="s">
        <v>1971</v>
      </c>
      <c r="N45" s="5" t="s">
        <v>1972</v>
      </c>
      <c r="O45" s="5" t="s">
        <v>1606</v>
      </c>
      <c r="P45" s="5" t="s">
        <v>1577</v>
      </c>
      <c r="Q45" s="5" t="str">
        <f>VLOOKUP(A45,[3]Progress!$A$4:$AO$175,38,0)</f>
        <v>106.600861°</v>
      </c>
      <c r="R45" s="5" t="s">
        <v>1606</v>
      </c>
      <c r="S45" s="5" t="s">
        <v>1577</v>
      </c>
      <c r="T45" s="5" t="s">
        <v>1604</v>
      </c>
    </row>
    <row r="46" spans="1:20" s="409" customFormat="1" ht="45" hidden="1">
      <c r="A46" s="400" t="s">
        <v>1608</v>
      </c>
      <c r="B46" s="243" t="str">
        <f>VLOOKUP(A46,[3]Progress!$A$4:$AO$175,2,0)</f>
        <v>230575280231</v>
      </c>
      <c r="C46" s="244">
        <f>VLOOKUP(A46,[3]Progress!$A$4:$AO$175,3,0)</f>
        <v>1261081023</v>
      </c>
      <c r="D46" s="244" t="str">
        <f t="shared" si="1"/>
        <v>ZJKT2_4258</v>
      </c>
      <c r="E46" s="244" t="str">
        <f>VLOOKUP(A46,[3]Progress!$A$4:$AO$175,5,0)</f>
        <v>TAPOS DEPOK</v>
      </c>
      <c r="F46" s="244">
        <f>VLOOKUP(A46,[3]Progress!$A$4:$AP$249,31,0)</f>
        <v>0</v>
      </c>
      <c r="G46" s="244">
        <f>VLOOKUP(A46,[3]Progress!$A$4:$AP$249,32,0)</f>
        <v>0</v>
      </c>
      <c r="H46" s="244" t="str">
        <f>VLOOKUP(A46,[3]Progress!$A$4:$AP$249,11,0)</f>
        <v>SMARTFREN</v>
      </c>
      <c r="I46" s="244" t="s">
        <v>4</v>
      </c>
      <c r="J46" s="244" t="s">
        <v>5</v>
      </c>
      <c r="K46" s="244" t="s">
        <v>316</v>
      </c>
      <c r="L46" s="244" t="s">
        <v>497</v>
      </c>
      <c r="M46" s="244" t="s">
        <v>1973</v>
      </c>
      <c r="N46" s="244" t="s">
        <v>1974</v>
      </c>
      <c r="O46" s="244" t="s">
        <v>1609</v>
      </c>
      <c r="P46" s="244" t="s">
        <v>1442</v>
      </c>
      <c r="Q46" s="244" t="str">
        <f>VLOOKUP(A46,[3]Progress!$A$4:$AO$175,38,0)</f>
        <v>106.88383</v>
      </c>
      <c r="R46" s="244" t="s">
        <v>1609</v>
      </c>
      <c r="S46" s="244" t="s">
        <v>1442</v>
      </c>
      <c r="T46" s="244" t="s">
        <v>1610</v>
      </c>
    </row>
    <row r="47" spans="1:20" ht="120" hidden="1">
      <c r="A47" s="5" t="s">
        <v>1611</v>
      </c>
      <c r="B47" s="244" t="s">
        <v>1612</v>
      </c>
      <c r="C47" s="244">
        <v>1261951001</v>
      </c>
      <c r="D47" s="244" t="str">
        <f t="shared" si="1"/>
        <v>SKB904</v>
      </c>
      <c r="E47" s="244" t="str">
        <f>VLOOKUP(A47,[4]DRM!$C$4:$K$31,9,0)</f>
        <v>DAYEUHLUHURWARUDOYONG</v>
      </c>
      <c r="F47" s="244">
        <f>VLOOKUP(A47,[3]Progress!$A$4:$AP$249,31,0)</f>
        <v>0</v>
      </c>
      <c r="G47" s="244">
        <f>VLOOKUP(A47,[3]Progress!$A$4:$AP$249,32,0)</f>
        <v>0</v>
      </c>
      <c r="H47" s="244" t="str">
        <f>VLOOKUP(A47,[3]Progress!$A$4:$AP$249,11,0)</f>
        <v>TSEL</v>
      </c>
      <c r="I47" s="244" t="s">
        <v>1613</v>
      </c>
      <c r="J47" s="244" t="s">
        <v>1426</v>
      </c>
      <c r="K47" s="244" t="s">
        <v>1614</v>
      </c>
      <c r="L47" s="244" t="s">
        <v>1615</v>
      </c>
      <c r="M47" s="244" t="s">
        <v>13</v>
      </c>
      <c r="N47" s="244" t="s">
        <v>1436</v>
      </c>
      <c r="O47" s="244" t="s">
        <v>1489</v>
      </c>
      <c r="P47" s="244" t="s">
        <v>1442</v>
      </c>
      <c r="Q47" s="244" t="s">
        <v>1436</v>
      </c>
      <c r="R47" s="244" t="s">
        <v>1489</v>
      </c>
      <c r="S47" s="244" t="s">
        <v>1442</v>
      </c>
      <c r="T47" s="244" t="s">
        <v>1616</v>
      </c>
    </row>
    <row r="48" spans="1:20" ht="45" hidden="1">
      <c r="A48" s="5" t="s">
        <v>1617</v>
      </c>
      <c r="B48" s="243">
        <f>VLOOKUP(A48,[3]Progress!$A$4:$AO$249,2,0)</f>
        <v>10587940011</v>
      </c>
      <c r="C48" s="244">
        <f>VLOOKUP(A48,[3]Progress!$A$4:$AO$249,3,0)</f>
        <v>1318181001</v>
      </c>
      <c r="D48" s="244" t="str">
        <f t="shared" si="1"/>
        <v>TGR529</v>
      </c>
      <c r="E48" s="244" t="str">
        <f>VLOOKUP(A48,[3]Progress!$A$4:$AO$249,5,0)</f>
        <v>GEMPOLSARISEPATANTIMURBANTEN</v>
      </c>
      <c r="F48" s="244">
        <f>VLOOKUP(A48,[3]Progress!$A$4:$AP$249,31,0)</f>
        <v>0</v>
      </c>
      <c r="G48" s="244">
        <f>VLOOKUP(A48,[3]Progress!$A$4:$AP$249,32,0)</f>
        <v>0</v>
      </c>
      <c r="H48" s="244" t="str">
        <f>VLOOKUP(A48,[3]Progress!$A$4:$AP$249,11,0)</f>
        <v>TSEL</v>
      </c>
      <c r="I48" s="244" t="s">
        <v>4</v>
      </c>
      <c r="J48" s="244" t="s">
        <v>1426</v>
      </c>
      <c r="K48" s="244" t="s">
        <v>1975</v>
      </c>
      <c r="L48" s="244" t="s">
        <v>19</v>
      </c>
      <c r="M48" s="244" t="s">
        <v>1976</v>
      </c>
      <c r="N48" s="244" t="s">
        <v>1977</v>
      </c>
      <c r="O48" s="244" t="s">
        <v>1489</v>
      </c>
      <c r="P48" s="244" t="s">
        <v>1442</v>
      </c>
      <c r="Q48" s="244" t="str">
        <f>VLOOKUP(A48,[3]Progress!$A$4:$AO$249,38,0)</f>
        <v>106.61962</v>
      </c>
      <c r="R48" s="244" t="s">
        <v>1489</v>
      </c>
      <c r="S48" s="244" t="s">
        <v>1442</v>
      </c>
      <c r="T48" s="244" t="s">
        <v>1616</v>
      </c>
    </row>
    <row r="49" spans="1:20" ht="45" hidden="1">
      <c r="A49" s="5" t="s">
        <v>1618</v>
      </c>
      <c r="B49" s="243" t="str">
        <f>VLOOKUP(A49,[3]Progress!$A$4:$AO$249,2,0)</f>
        <v>0010587920011</v>
      </c>
      <c r="C49" s="244">
        <f>VLOOKUP(A49,[3]Progress!$A$4:$AO$249,3,0)</f>
        <v>1261991001</v>
      </c>
      <c r="D49" s="2" t="str">
        <f t="shared" si="1"/>
        <v>KRW198</v>
      </c>
      <c r="E49" s="244" t="str">
        <f>VLOOKUP(A49,[3]Progress!$A$4:$AO$249,5,0)</f>
        <v>BELENDUNGKLARI</v>
      </c>
      <c r="F49" s="244">
        <f>VLOOKUP(A49,[3]Progress!$A$4:$AP$249,31,0)</f>
        <v>0</v>
      </c>
      <c r="G49" s="244">
        <f>VLOOKUP(A49,[3]Progress!$A$4:$AP$249,32,0)</f>
        <v>0</v>
      </c>
      <c r="H49" s="244" t="str">
        <f>VLOOKUP(A49,[3]Progress!$A$4:$AP$249,11,0)</f>
        <v>TSEL</v>
      </c>
      <c r="I49" s="244" t="s">
        <v>4</v>
      </c>
      <c r="J49" s="244" t="s">
        <v>1426</v>
      </c>
      <c r="K49" s="244" t="s">
        <v>1978</v>
      </c>
      <c r="L49" s="244" t="s">
        <v>763</v>
      </c>
      <c r="M49" s="244">
        <v>-6.3519199999999998</v>
      </c>
      <c r="N49" s="244">
        <v>107.38802</v>
      </c>
      <c r="O49" s="244" t="s">
        <v>1619</v>
      </c>
      <c r="P49" s="244" t="s">
        <v>1577</v>
      </c>
      <c r="Q49" s="244">
        <f>VLOOKUP(A49,[3]Progress!$A$4:$AO$249,38,0)</f>
        <v>107.38802</v>
      </c>
      <c r="R49" s="5" t="s">
        <v>1619</v>
      </c>
      <c r="S49" s="5" t="s">
        <v>1577</v>
      </c>
      <c r="T49" s="2"/>
    </row>
    <row r="50" spans="1:20" ht="45" hidden="1">
      <c r="A50" s="5" t="s">
        <v>1620</v>
      </c>
      <c r="B50" s="243">
        <f>VLOOKUP(A50,[3]Progress!$A$4:$AO$249,2,0)</f>
        <v>30573430031</v>
      </c>
      <c r="C50" s="244">
        <f>VLOOKUP(A50,[3]Progress!$A$4:$AO$249,3,0)</f>
        <v>1260971003</v>
      </c>
      <c r="D50" s="2" t="str">
        <f t="shared" si="1"/>
        <v>JAW-JB-CBI-0068</v>
      </c>
      <c r="E50" s="244" t="str">
        <f>VLOOKUP(A50,[3]Progress!$A$4:$AO$249,5,0)</f>
        <v>Klapanunggal Cileungsi</v>
      </c>
      <c r="F50" s="244">
        <f>VLOOKUP(A50,[3]Progress!$A$4:$AP$249,31,0)</f>
        <v>0</v>
      </c>
      <c r="G50" s="244">
        <f>VLOOKUP(A50,[3]Progress!$A$4:$AP$249,32,0)</f>
        <v>0</v>
      </c>
      <c r="H50" s="244" t="str">
        <f>VLOOKUP(A50,[3]Progress!$A$4:$AP$249,11,0)</f>
        <v>XL</v>
      </c>
      <c r="I50" s="244" t="s">
        <v>4</v>
      </c>
      <c r="J50" s="244" t="s">
        <v>11</v>
      </c>
      <c r="K50" s="244" t="s">
        <v>179</v>
      </c>
      <c r="L50" s="244" t="s">
        <v>26</v>
      </c>
      <c r="M50" s="244" t="s">
        <v>1979</v>
      </c>
      <c r="N50" s="244" t="s">
        <v>1980</v>
      </c>
      <c r="O50" s="244" t="s">
        <v>1494</v>
      </c>
      <c r="P50" s="244" t="s">
        <v>1577</v>
      </c>
      <c r="Q50" s="244" t="str">
        <f>VLOOKUP(A50,[3]Progress!$A$4:$AO$249,38,0)</f>
        <v>106.95828</v>
      </c>
      <c r="R50" s="2" t="s">
        <v>1494</v>
      </c>
      <c r="S50" s="2" t="s">
        <v>1577</v>
      </c>
      <c r="T50" s="2"/>
    </row>
    <row r="51" spans="1:20" ht="45" hidden="1">
      <c r="A51" s="5" t="s">
        <v>1621</v>
      </c>
      <c r="B51" s="243" t="str">
        <f>VLOOKUP(A51,[3]Progress!$A$4:$AO$249,2,0)</f>
        <v>0010587900011</v>
      </c>
      <c r="C51" s="244">
        <f>VLOOKUP(A51,[3]Progress!$A$4:$AO$249,3,0)</f>
        <v>1261971001</v>
      </c>
      <c r="D51" s="2" t="str">
        <f t="shared" si="1"/>
        <v>KRW224</v>
      </c>
      <c r="E51" s="244" t="str">
        <f>VLOOKUP(A51,[3]Progress!$A$4:$AO$249,5,0)</f>
        <v>JLRAYACIKUNGKUNG</v>
      </c>
      <c r="F51" s="244">
        <f>VLOOKUP(A51,[3]Progress!$A$4:$AP$249,31,0)</f>
        <v>0</v>
      </c>
      <c r="G51" s="244">
        <f>VLOOKUP(A51,[3]Progress!$A$4:$AP$249,32,0)</f>
        <v>0</v>
      </c>
      <c r="H51" s="244" t="str">
        <f>VLOOKUP(A51,[3]Progress!$A$4:$AP$249,11,0)</f>
        <v>TSEL</v>
      </c>
      <c r="I51" s="244" t="s">
        <v>4</v>
      </c>
      <c r="J51" s="244" t="s">
        <v>1426</v>
      </c>
      <c r="K51" s="244" t="s">
        <v>1978</v>
      </c>
      <c r="L51" s="244" t="s">
        <v>763</v>
      </c>
      <c r="M51" s="244" t="s">
        <v>1981</v>
      </c>
      <c r="N51" s="244" t="s">
        <v>1982</v>
      </c>
      <c r="O51" s="244" t="s">
        <v>1619</v>
      </c>
      <c r="P51" s="244" t="s">
        <v>1577</v>
      </c>
      <c r="Q51" s="244" t="str">
        <f>VLOOKUP(A51,[3]Progress!$A$4:$AO$249,38,0)</f>
        <v>107.28315</v>
      </c>
      <c r="R51" s="5" t="s">
        <v>1619</v>
      </c>
      <c r="S51" s="5" t="s">
        <v>1577</v>
      </c>
      <c r="T51" s="2"/>
    </row>
    <row r="52" spans="1:20" ht="45" hidden="1">
      <c r="A52" s="5" t="s">
        <v>1622</v>
      </c>
      <c r="B52" s="243">
        <f>VLOOKUP(A52,[3]Progress!$A$4:$AO$249,2,0)</f>
        <v>230580690231</v>
      </c>
      <c r="C52" s="244">
        <f>VLOOKUP(A52,[3]Progress!$A$4:$AO$249,3,0)</f>
        <v>1317971023</v>
      </c>
      <c r="D52" s="2" t="str">
        <f t="shared" si="1"/>
        <v>ZJKT2_6092</v>
      </c>
      <c r="E52" s="244" t="str">
        <f>VLOOKUP(A52,[3]Progress!$A$4:$AO$249,5,0)</f>
        <v>SUMUR BANDUNG JAYANTI</v>
      </c>
      <c r="F52" s="244">
        <f>VLOOKUP(A52,[3]Progress!$A$4:$AP$249,31,0)</f>
        <v>0</v>
      </c>
      <c r="G52" s="244">
        <f>VLOOKUP(A52,[3]Progress!$A$4:$AP$249,32,0)</f>
        <v>0</v>
      </c>
      <c r="H52" s="244" t="str">
        <f>VLOOKUP(A52,[3]Progress!$A$4:$AP$249,11,0)</f>
        <v>SMARTFREN</v>
      </c>
      <c r="I52" s="244" t="s">
        <v>4</v>
      </c>
      <c r="J52" s="244" t="s">
        <v>11</v>
      </c>
      <c r="K52" s="244" t="s">
        <v>314</v>
      </c>
      <c r="L52" s="244" t="s">
        <v>19</v>
      </c>
      <c r="M52" s="244" t="s">
        <v>1983</v>
      </c>
      <c r="N52" s="244" t="s">
        <v>1984</v>
      </c>
      <c r="O52" s="244" t="s">
        <v>1441</v>
      </c>
      <c r="P52" s="244" t="s">
        <v>1577</v>
      </c>
      <c r="Q52" s="244" t="str">
        <f>VLOOKUP(A52,[3]Progress!$A$4:$AO$249,38,0)</f>
        <v>106.40324</v>
      </c>
      <c r="R52" s="2" t="s">
        <v>1441</v>
      </c>
      <c r="S52" s="2" t="s">
        <v>1577</v>
      </c>
      <c r="T52" s="2"/>
    </row>
    <row r="53" spans="1:20" ht="45" hidden="1">
      <c r="A53" s="5" t="s">
        <v>1623</v>
      </c>
      <c r="B53" s="243" t="str">
        <f>VLOOKUP(A53,[3]Progress!$A$4:$AO$249,2,0)</f>
        <v>0010587880011</v>
      </c>
      <c r="C53" s="244">
        <f>VLOOKUP(A53,[3]Progress!$A$4:$AO$249,3,0)</f>
        <v>1318171001</v>
      </c>
      <c r="D53" s="245" t="str">
        <f t="shared" si="1"/>
        <v>TGR523</v>
      </c>
      <c r="E53" s="244" t="str">
        <f>VLOOKUP(A53,[3]Progress!$A$4:$AO$249,5,0)</f>
        <v>KADUSIRUNG</v>
      </c>
      <c r="F53" s="244">
        <f>VLOOKUP(A53,[3]Progress!$A$4:$AP$249,31,0)</f>
        <v>0</v>
      </c>
      <c r="G53" s="244">
        <f>VLOOKUP(A53,[3]Progress!$A$4:$AP$249,32,0)</f>
        <v>0</v>
      </c>
      <c r="H53" s="244" t="str">
        <f>VLOOKUP(A53,[3]Progress!$A$4:$AP$249,11,0)</f>
        <v>TSEL</v>
      </c>
      <c r="I53" s="244" t="s">
        <v>4</v>
      </c>
      <c r="J53" s="244" t="s">
        <v>1426</v>
      </c>
      <c r="K53" s="244" t="s">
        <v>1978</v>
      </c>
      <c r="L53" s="244" t="s">
        <v>19</v>
      </c>
      <c r="M53" s="244">
        <v>-6.3135300000000001</v>
      </c>
      <c r="N53" s="244">
        <v>106.61089</v>
      </c>
      <c r="O53" s="244" t="s">
        <v>1624</v>
      </c>
      <c r="P53" s="244" t="s">
        <v>1442</v>
      </c>
      <c r="Q53" s="244">
        <f>VLOOKUP(A53,[3]Progress!$A$4:$AO$249,38,0)</f>
        <v>106.61089</v>
      </c>
      <c r="R53" s="245" t="s">
        <v>1624</v>
      </c>
      <c r="S53" s="244" t="s">
        <v>1442</v>
      </c>
      <c r="T53" s="244" t="s">
        <v>1616</v>
      </c>
    </row>
    <row r="54" spans="1:20" ht="45" hidden="1">
      <c r="A54" s="5" t="s">
        <v>1625</v>
      </c>
      <c r="B54" s="243">
        <f>VLOOKUP(A54,[3]Progress!$A$4:$AO$249,2,0)</f>
        <v>30572110031</v>
      </c>
      <c r="C54" s="244">
        <f>VLOOKUP(A54,[3]Progress!$A$4:$AO$249,3,0)</f>
        <v>1260921003</v>
      </c>
      <c r="D54" s="245" t="str">
        <f t="shared" si="1"/>
        <v>JAW-JB-CBI-0086</v>
      </c>
      <c r="E54" s="244" t="str">
        <f>VLOOKUP(A54,[3]Progress!$A$4:$AO$249,5,0)</f>
        <v>Situ Cogarongsong Pengasinan</v>
      </c>
      <c r="F54" s="244">
        <f>VLOOKUP(A54,[3]Progress!$A$4:$AP$249,31,0)</f>
        <v>0</v>
      </c>
      <c r="G54" s="244">
        <f>VLOOKUP(A54,[3]Progress!$A$4:$AP$249,32,0)</f>
        <v>0</v>
      </c>
      <c r="H54" s="244" t="str">
        <f>VLOOKUP(A54,[3]Progress!$A$4:$AP$249,11,0)</f>
        <v>XL</v>
      </c>
      <c r="I54" s="244" t="s">
        <v>4</v>
      </c>
      <c r="J54" s="244" t="s">
        <v>11</v>
      </c>
      <c r="K54" s="244" t="s">
        <v>179</v>
      </c>
      <c r="L54" s="244" t="s">
        <v>26</v>
      </c>
      <c r="M54" s="244" t="s">
        <v>1985</v>
      </c>
      <c r="N54" s="244" t="s">
        <v>1986</v>
      </c>
      <c r="O54" s="244" t="s">
        <v>1587</v>
      </c>
      <c r="P54" s="244" t="s">
        <v>1442</v>
      </c>
      <c r="Q54" s="244" t="str">
        <f>VLOOKUP(A54,[3]Progress!$A$4:$AO$249,38,0)</f>
        <v>106.69205</v>
      </c>
      <c r="R54" s="244" t="s">
        <v>1587</v>
      </c>
      <c r="S54" s="245" t="s">
        <v>1442</v>
      </c>
      <c r="T54" s="245" t="s">
        <v>1626</v>
      </c>
    </row>
    <row r="55" spans="1:20" ht="45" hidden="1">
      <c r="A55" s="5" t="s">
        <v>1627</v>
      </c>
      <c r="B55" s="243">
        <f>VLOOKUP(A55,[3]Progress!$A$4:$AO$249,2,0)</f>
        <v>230581800231</v>
      </c>
      <c r="C55" s="244">
        <f>VLOOKUP(A55,[3]Progress!$A$4:$AO$249,3,0)</f>
        <v>1261611023</v>
      </c>
      <c r="D55" s="2" t="str">
        <f t="shared" si="1"/>
        <v>ZJKT2_4373</v>
      </c>
      <c r="E55" s="244" t="str">
        <f>VLOOKUP(A55,[3]Progress!$A$4:$AO$249,5,0)</f>
        <v>MUSTIKAJAYA BEKASI</v>
      </c>
      <c r="F55" s="244">
        <f>VLOOKUP(A55,[3]Progress!$A$4:$AP$249,31,0)</f>
        <v>0</v>
      </c>
      <c r="G55" s="244">
        <f>VLOOKUP(A55,[3]Progress!$A$4:$AP$249,32,0)</f>
        <v>0</v>
      </c>
      <c r="H55" s="244" t="str">
        <f>VLOOKUP(A55,[3]Progress!$A$4:$AP$249,11,0)</f>
        <v>SMARTFREN</v>
      </c>
      <c r="I55" s="244" t="s">
        <v>4</v>
      </c>
      <c r="J55" s="244" t="s">
        <v>11</v>
      </c>
      <c r="K55" s="244" t="s">
        <v>316</v>
      </c>
      <c r="L55" s="244" t="s">
        <v>53</v>
      </c>
      <c r="M55" s="244" t="s">
        <v>1987</v>
      </c>
      <c r="N55" s="244" t="s">
        <v>1988</v>
      </c>
      <c r="O55" s="244" t="s">
        <v>1587</v>
      </c>
      <c r="P55" s="244" t="s">
        <v>1577</v>
      </c>
      <c r="Q55" s="244" t="str">
        <f>VLOOKUP(A55,[3]Progress!$A$4:$AO$249,38,0)</f>
        <v>107.02915</v>
      </c>
      <c r="R55" s="5" t="s">
        <v>1587</v>
      </c>
      <c r="S55" s="5" t="s">
        <v>1577</v>
      </c>
      <c r="T55" s="2"/>
    </row>
    <row r="56" spans="1:20" ht="45" hidden="1">
      <c r="A56" s="5" t="s">
        <v>1628</v>
      </c>
      <c r="B56" s="243">
        <f>VLOOKUP(A56,[3]Progress!$A$4:$AO$249,2,0)</f>
        <v>30572520031</v>
      </c>
      <c r="C56" s="244">
        <f>VLOOKUP(A56,[3]Progress!$A$4:$AO$249,3,0)</f>
        <v>1317711003</v>
      </c>
      <c r="D56" s="2" t="str">
        <f t="shared" si="1"/>
        <v>JAW-BT-TGR-0042</v>
      </c>
      <c r="E56" s="244" t="str">
        <f>VLOOKUP(A56,[3]Progress!$A$4:$AO$249,5,0)</f>
        <v>BABAKAN ASEM TELUK NAGA</v>
      </c>
      <c r="F56" s="244">
        <f>VLOOKUP(A56,[3]Progress!$A$4:$AP$249,31,0)</f>
        <v>0</v>
      </c>
      <c r="G56" s="244">
        <f>VLOOKUP(A56,[3]Progress!$A$4:$AP$249,32,0)</f>
        <v>0</v>
      </c>
      <c r="H56" s="244" t="str">
        <f>VLOOKUP(A56,[3]Progress!$A$4:$AP$249,11,0)</f>
        <v>XL</v>
      </c>
      <c r="I56" s="244" t="s">
        <v>4</v>
      </c>
      <c r="J56" s="244" t="s">
        <v>11</v>
      </c>
      <c r="K56" s="244" t="s">
        <v>316</v>
      </c>
      <c r="L56" s="244" t="s">
        <v>19</v>
      </c>
      <c r="M56" s="244" t="s">
        <v>1989</v>
      </c>
      <c r="N56" s="244" t="s">
        <v>1990</v>
      </c>
      <c r="O56" s="244" t="s">
        <v>1629</v>
      </c>
      <c r="P56" s="244" t="s">
        <v>1442</v>
      </c>
      <c r="Q56" s="244" t="str">
        <f>VLOOKUP(A56,[3]Progress!$A$4:$AO$249,38,0)</f>
        <v>106.66314</v>
      </c>
      <c r="R56" s="5" t="s">
        <v>1629</v>
      </c>
      <c r="S56" s="244" t="s">
        <v>1442</v>
      </c>
      <c r="T56" s="2"/>
    </row>
    <row r="57" spans="1:20" ht="45" hidden="1">
      <c r="A57" s="5" t="s">
        <v>1631</v>
      </c>
      <c r="B57" s="243">
        <f>VLOOKUP(A57,[3]Progress!$A$4:$AO$249,2,0)</f>
        <v>30571790031</v>
      </c>
      <c r="C57" s="244">
        <f>VLOOKUP(A57,[3]Progress!$A$4:$AO$249,3,0)</f>
        <v>1127641003</v>
      </c>
      <c r="D57" s="2" t="str">
        <f t="shared" si="1"/>
        <v>JAW-JK-KYB-0102</v>
      </c>
      <c r="E57" s="244" t="str">
        <f>VLOOKUP(A57,[3]Progress!$A$4:$AO$249,5,0)</f>
        <v>Menteng Lenteng Agung</v>
      </c>
      <c r="F57" s="244">
        <f>VLOOKUP(A57,[3]Progress!$A$4:$AP$249,31,0)</f>
        <v>0</v>
      </c>
      <c r="G57" s="244">
        <f>VLOOKUP(A57,[3]Progress!$A$4:$AP$249,32,0)</f>
        <v>0</v>
      </c>
      <c r="H57" s="244" t="str">
        <f>VLOOKUP(A57,[3]Progress!$A$4:$AP$249,11,0)</f>
        <v>XL</v>
      </c>
      <c r="I57" s="244" t="s">
        <v>4</v>
      </c>
      <c r="J57" s="244" t="s">
        <v>5</v>
      </c>
      <c r="K57" s="244" t="s">
        <v>314</v>
      </c>
      <c r="L57" s="244" t="s">
        <v>1079</v>
      </c>
      <c r="M57" s="244" t="s">
        <v>1991</v>
      </c>
      <c r="N57" s="244" t="s">
        <v>1992</v>
      </c>
      <c r="O57" s="244"/>
      <c r="P57" s="244"/>
      <c r="Q57" s="244" t="str">
        <f>VLOOKUP(A57,[3]Progress!$A$4:$AO$249,38,0)</f>
        <v>106.83049</v>
      </c>
      <c r="T57" s="2"/>
    </row>
    <row r="58" spans="1:20" ht="45" hidden="1">
      <c r="A58" s="5" t="s">
        <v>1632</v>
      </c>
      <c r="B58" s="243">
        <f>VLOOKUP(A58,[3]Progress!$A$4:$AO$249,2,0)</f>
        <v>230579850231</v>
      </c>
      <c r="C58" s="244">
        <f>VLOOKUP(A58,[3]Progress!$A$4:$AO$249,3,0)</f>
        <v>1128011023</v>
      </c>
      <c r="D58" s="2" t="str">
        <f t="shared" si="1"/>
        <v>ZJKT_5207</v>
      </c>
      <c r="E58" s="244" t="str">
        <f>VLOOKUP(A58,[3]Progress!$A$4:$AO$249,5,0)</f>
        <v>TEGAL ALUR KALI DERES</v>
      </c>
      <c r="F58" s="244">
        <f>VLOOKUP(A58,[3]Progress!$A$4:$AP$249,31,0)</f>
        <v>0</v>
      </c>
      <c r="G58" s="244">
        <f>VLOOKUP(A58,[3]Progress!$A$4:$AP$249,32,0)</f>
        <v>0</v>
      </c>
      <c r="H58" s="244" t="str">
        <f>VLOOKUP(A58,[3]Progress!$A$4:$AP$249,11,0)</f>
        <v>SMARTFREN</v>
      </c>
      <c r="I58" s="244" t="s">
        <v>4</v>
      </c>
      <c r="J58" s="244" t="s">
        <v>5</v>
      </c>
      <c r="K58" s="244" t="s">
        <v>316</v>
      </c>
      <c r="L58" s="244" t="s">
        <v>505</v>
      </c>
      <c r="M58" s="244" t="s">
        <v>1993</v>
      </c>
      <c r="N58" s="244" t="s">
        <v>1994</v>
      </c>
      <c r="O58" s="244"/>
      <c r="P58" s="244"/>
      <c r="Q58" s="244" t="str">
        <f>VLOOKUP(A58,[3]Progress!$A$4:$AO$249,38,0)</f>
        <v>106.71122</v>
      </c>
      <c r="T58" s="2"/>
    </row>
    <row r="59" spans="1:20" ht="45" hidden="1">
      <c r="A59" s="5" t="s">
        <v>1633</v>
      </c>
      <c r="B59" s="243">
        <f>VLOOKUP(A59,[3]Progress!$A$4:$AO$249,2,0)</f>
        <v>230579490231</v>
      </c>
      <c r="C59" s="244">
        <f>VLOOKUP(A59,[3]Progress!$A$4:$AO$249,3,0)</f>
        <v>1261181023</v>
      </c>
      <c r="D59" s="2" t="str">
        <f t="shared" si="1"/>
        <v>ZJKT2_6038</v>
      </c>
      <c r="E59" s="244" t="str">
        <f>VLOOKUP(A59,[3]Progress!$A$4:$AO$249,5,0)</f>
        <v>CILANGKAP TAPOS</v>
      </c>
      <c r="F59" s="244">
        <f>VLOOKUP(A59,[3]Progress!$A$4:$AP$249,31,0)</f>
        <v>0</v>
      </c>
      <c r="G59" s="244">
        <f>VLOOKUP(A59,[3]Progress!$A$4:$AP$249,32,0)</f>
        <v>0</v>
      </c>
      <c r="H59" s="244" t="str">
        <f>VLOOKUP(A59,[3]Progress!$A$4:$AP$249,11,0)</f>
        <v>SMARTFREN</v>
      </c>
      <c r="I59" s="244" t="s">
        <v>4</v>
      </c>
      <c r="J59" s="244" t="s">
        <v>5</v>
      </c>
      <c r="K59" s="244" t="s">
        <v>316</v>
      </c>
      <c r="L59" s="244" t="s">
        <v>497</v>
      </c>
      <c r="M59" s="244" t="s">
        <v>1995</v>
      </c>
      <c r="N59" s="244" t="s">
        <v>1996</v>
      </c>
      <c r="O59" s="244" t="s">
        <v>1449</v>
      </c>
      <c r="P59" s="244" t="s">
        <v>1577</v>
      </c>
      <c r="Q59" s="244" t="str">
        <f>VLOOKUP(A59,[3]Progress!$A$4:$AO$249,38,0)</f>
        <v>106.8635</v>
      </c>
      <c r="R59" s="2" t="s">
        <v>1449</v>
      </c>
      <c r="S59" s="2" t="s">
        <v>1577</v>
      </c>
      <c r="T59" s="2" t="s">
        <v>1634</v>
      </c>
    </row>
    <row r="60" spans="1:20" ht="45" hidden="1">
      <c r="A60" s="5" t="s">
        <v>1635</v>
      </c>
      <c r="B60" s="243" t="str">
        <f>VLOOKUP(A60,[3]Progress!$A$4:$AO$249,2,0)</f>
        <v>0010587930011</v>
      </c>
      <c r="C60" s="244">
        <f>VLOOKUP(A60,[3]Progress!$A$4:$AO$249,3,0)</f>
        <v>1262001001</v>
      </c>
      <c r="D60" s="2" t="str">
        <f t="shared" si="1"/>
        <v>SKB144</v>
      </c>
      <c r="E60" s="244" t="str">
        <f>VLOOKUP(A60,[3]Progress!$A$4:$AO$249,5,0)</f>
        <v>PANENMAS</v>
      </c>
      <c r="F60" s="244">
        <f>VLOOKUP(A60,[3]Progress!$A$4:$AP$249,31,0)</f>
        <v>0</v>
      </c>
      <c r="G60" s="244">
        <f>VLOOKUP(A60,[3]Progress!$A$4:$AP$249,32,0)</f>
        <v>0</v>
      </c>
      <c r="H60" s="244" t="str">
        <f>VLOOKUP(A60,[3]Progress!$A$4:$AP$249,11,0)</f>
        <v>TSEL</v>
      </c>
      <c r="I60" s="244" t="s">
        <v>4</v>
      </c>
      <c r="J60" s="244" t="s">
        <v>1426</v>
      </c>
      <c r="K60" s="244" t="s">
        <v>1978</v>
      </c>
      <c r="L60" s="244" t="s">
        <v>12</v>
      </c>
      <c r="M60" s="244">
        <v>-6.7752100000000004</v>
      </c>
      <c r="N60" s="244">
        <v>106.81386999999999</v>
      </c>
      <c r="O60" s="244" t="s">
        <v>1624</v>
      </c>
      <c r="P60" s="244" t="s">
        <v>1442</v>
      </c>
      <c r="Q60" s="244">
        <f>VLOOKUP(A60,[3]Progress!$A$4:$AO$249,38,0)</f>
        <v>106.81386999999999</v>
      </c>
      <c r="R60" s="245" t="s">
        <v>1624</v>
      </c>
      <c r="S60" s="244" t="s">
        <v>1442</v>
      </c>
      <c r="T60" s="2"/>
    </row>
    <row r="61" spans="1:20" ht="45" hidden="1">
      <c r="A61" s="5" t="s">
        <v>1582</v>
      </c>
      <c r="B61" s="243">
        <f>VLOOKUP(A61,[3]Progress!$A$4:$AO$249,2,0)</f>
        <v>30572360031</v>
      </c>
      <c r="C61" s="244">
        <f>VLOOKUP(A61,[3]Progress!$A$4:$AO$249,3,0)</f>
        <v>1260951003</v>
      </c>
      <c r="D61" s="2" t="str">
        <f t="shared" si="1"/>
        <v>JAW-JB-CBI-0082</v>
      </c>
      <c r="E61" s="244" t="str">
        <f>VLOOKUP(A61,[3]Progress!$A$4:$AO$249,5,0)</f>
        <v>Pengasinan Gunung Sindur</v>
      </c>
      <c r="F61" s="244">
        <f>VLOOKUP(A61,[3]Progress!$A$4:$AP$249,31,0)</f>
        <v>0</v>
      </c>
      <c r="G61" s="244">
        <f>VLOOKUP(A61,[3]Progress!$A$4:$AP$249,32,0)</f>
        <v>0</v>
      </c>
      <c r="H61" s="244" t="str">
        <f>VLOOKUP(A61,[3]Progress!$A$4:$AP$249,11,0)</f>
        <v>XL</v>
      </c>
      <c r="I61" s="244" t="s">
        <v>4</v>
      </c>
      <c r="J61" s="244" t="s">
        <v>11</v>
      </c>
      <c r="K61" s="244" t="s">
        <v>179</v>
      </c>
      <c r="L61" s="244" t="s">
        <v>26</v>
      </c>
      <c r="M61" s="244">
        <v>-6.3766299999999996</v>
      </c>
      <c r="N61" s="244">
        <v>106.69251</v>
      </c>
      <c r="O61" s="244" t="s">
        <v>1587</v>
      </c>
      <c r="P61" s="244" t="s">
        <v>1442</v>
      </c>
      <c r="Q61" s="244">
        <f>VLOOKUP(A61,[3]Progress!$A$4:$AO$249,38,0)</f>
        <v>106.69251</v>
      </c>
      <c r="R61" s="2" t="s">
        <v>1587</v>
      </c>
      <c r="S61" s="2" t="s">
        <v>1442</v>
      </c>
      <c r="T61" s="2" t="s">
        <v>1626</v>
      </c>
    </row>
    <row r="62" spans="1:20" ht="45" hidden="1">
      <c r="A62" s="5" t="s">
        <v>1636</v>
      </c>
      <c r="B62" s="243">
        <f>VLOOKUP(A62,[3]Progress!$A$4:$AO$249,2,0)</f>
        <v>30572420031</v>
      </c>
      <c r="C62" s="244">
        <f>VLOOKUP(A62,[3]Progress!$A$4:$AO$249,3,0)</f>
        <v>1317611003</v>
      </c>
      <c r="D62" s="2" t="str">
        <f t="shared" si="1"/>
        <v>JAW-BT-CPT-0461</v>
      </c>
      <c r="E62" s="244" t="str">
        <f>VLOOKUP(A62,[3]Progress!$A$4:$AO$249,5,0)</f>
        <v>KOMPLEKS SASMITA LOKA PAMULANG BARAT</v>
      </c>
      <c r="F62" s="244">
        <f>VLOOKUP(A62,[3]Progress!$A$4:$AP$249,31,0)</f>
        <v>0</v>
      </c>
      <c r="G62" s="244">
        <f>VLOOKUP(A62,[3]Progress!$A$4:$AP$249,32,0)</f>
        <v>0</v>
      </c>
      <c r="H62" s="244" t="str">
        <f>VLOOKUP(A62,[3]Progress!$A$4:$AP$249,11,0)</f>
        <v>XL</v>
      </c>
      <c r="I62" s="244" t="s">
        <v>4</v>
      </c>
      <c r="J62" s="244" t="s">
        <v>11</v>
      </c>
      <c r="K62" s="244" t="s">
        <v>179</v>
      </c>
      <c r="L62" s="244" t="s">
        <v>29</v>
      </c>
      <c r="M62" s="244">
        <v>-6.3519100000000002</v>
      </c>
      <c r="N62" s="244">
        <v>106.73247000000001</v>
      </c>
      <c r="O62" s="244"/>
      <c r="P62" s="244"/>
      <c r="Q62" s="244">
        <f>VLOOKUP(A62,[3]Progress!$A$4:$AO$249,38,0)</f>
        <v>106.73247000000001</v>
      </c>
      <c r="T62" s="2"/>
    </row>
    <row r="63" spans="1:20" ht="45" hidden="1">
      <c r="A63" s="5" t="s">
        <v>1637</v>
      </c>
      <c r="B63" s="243">
        <f>VLOOKUP(A63,[3]Progress!$A$4:$AO$249,2,0)</f>
        <v>30571980031</v>
      </c>
      <c r="C63" s="244">
        <f>VLOOKUP(A63,[3]Progress!$A$4:$AO$249,3,0)</f>
        <v>1127761003</v>
      </c>
      <c r="D63" s="2" t="str">
        <f t="shared" si="1"/>
        <v>JAW-JK-KYB-0027</v>
      </c>
      <c r="E63" s="244" t="str">
        <f>VLOOKUP(A63,[3]Progress!$A$4:$AO$249,5,0)</f>
        <v>Sabar Raya Kemajuan</v>
      </c>
      <c r="F63" s="244">
        <f>VLOOKUP(A63,[3]Progress!$A$4:$AP$249,31,0)</f>
        <v>0</v>
      </c>
      <c r="G63" s="244">
        <f>VLOOKUP(A63,[3]Progress!$A$4:$AP$249,32,0)</f>
        <v>0</v>
      </c>
      <c r="H63" s="244" t="str">
        <f>VLOOKUP(A63,[3]Progress!$A$4:$AP$249,11,0)</f>
        <v>XL</v>
      </c>
      <c r="I63" s="244" t="s">
        <v>4</v>
      </c>
      <c r="J63" s="244" t="s">
        <v>5</v>
      </c>
      <c r="K63" s="244" t="s">
        <v>179</v>
      </c>
      <c r="L63" s="244" t="s">
        <v>1079</v>
      </c>
      <c r="M63" s="244" t="s">
        <v>1997</v>
      </c>
      <c r="N63" s="244" t="s">
        <v>1998</v>
      </c>
      <c r="O63" s="244"/>
      <c r="P63" s="244"/>
      <c r="Q63" s="244" t="str">
        <f>VLOOKUP(A63,[3]Progress!$A$4:$AO$249,38,0)</f>
        <v>106.75289</v>
      </c>
      <c r="T63" s="2"/>
    </row>
    <row r="64" spans="1:20" ht="45" hidden="1">
      <c r="A64" s="5" t="s">
        <v>1593</v>
      </c>
      <c r="B64" s="243">
        <f>VLOOKUP(A64,[3]Progress!$A$4:$AO$249,2,0)</f>
        <v>230580760231</v>
      </c>
      <c r="C64" s="244">
        <f>VLOOKUP(A64,[3]Progress!$A$4:$AO$249,3,0)</f>
        <v>1261571023</v>
      </c>
      <c r="D64" s="2" t="str">
        <f t="shared" si="1"/>
        <v>ZBGR_4670</v>
      </c>
      <c r="E64" s="244" t="str">
        <f>VLOOKUP(A64,[3]Progress!$A$4:$AO$249,5,0)</f>
        <v>CIMANGGU 2 CIBUNGBULANG</v>
      </c>
      <c r="F64" s="244">
        <f>VLOOKUP(A64,[3]Progress!$A$4:$AP$249,31,0)</f>
        <v>0</v>
      </c>
      <c r="G64" s="244">
        <f>VLOOKUP(A64,[3]Progress!$A$4:$AP$249,32,0)</f>
        <v>0</v>
      </c>
      <c r="H64" s="244" t="str">
        <f>VLOOKUP(A64,[3]Progress!$A$4:$AP$249,11,0)</f>
        <v>SMARTFREN</v>
      </c>
      <c r="I64" s="244" t="s">
        <v>4</v>
      </c>
      <c r="J64" s="244" t="s">
        <v>11</v>
      </c>
      <c r="K64" s="244" t="s">
        <v>314</v>
      </c>
      <c r="L64" s="244" t="s">
        <v>26</v>
      </c>
      <c r="M64" s="244" t="s">
        <v>1999</v>
      </c>
      <c r="N64" s="244" t="s">
        <v>2000</v>
      </c>
      <c r="O64" s="244" t="s">
        <v>1624</v>
      </c>
      <c r="P64" s="244" t="s">
        <v>1442</v>
      </c>
      <c r="Q64" s="244" t="str">
        <f>VLOOKUP(A64,[3]Progress!$A$4:$AO$249,38,0)</f>
        <v>106.66093</v>
      </c>
      <c r="R64" s="2" t="s">
        <v>1624</v>
      </c>
      <c r="S64" s="2" t="s">
        <v>1442</v>
      </c>
      <c r="T64" s="2" t="s">
        <v>1616</v>
      </c>
    </row>
    <row r="65" spans="1:20" ht="45" hidden="1">
      <c r="A65" s="5" t="s">
        <v>1638</v>
      </c>
      <c r="B65" s="243">
        <f>VLOOKUP(A65,[3]Progress!$A$4:$AO$249,2,0)</f>
        <v>30571910031</v>
      </c>
      <c r="C65" s="244">
        <f>VLOOKUP(A65,[3]Progress!$A$4:$AO$249,3,0)</f>
        <v>1317371003</v>
      </c>
      <c r="D65" s="2" t="str">
        <f t="shared" si="1"/>
        <v>JAW-BT-TGR-0023</v>
      </c>
      <c r="E65" s="244" t="str">
        <f>VLOOKUP(A65,[3]Progress!$A$4:$AO$249,5,0)</f>
        <v>Dukuh Cukanggalih</v>
      </c>
      <c r="F65" s="244">
        <f>VLOOKUP(A65,[3]Progress!$A$4:$AP$249,31,0)</f>
        <v>0</v>
      </c>
      <c r="G65" s="244">
        <f>VLOOKUP(A65,[3]Progress!$A$4:$AP$249,32,0)</f>
        <v>0</v>
      </c>
      <c r="H65" s="244" t="str">
        <f>VLOOKUP(A65,[3]Progress!$A$4:$AP$249,11,0)</f>
        <v>XL</v>
      </c>
      <c r="I65" s="244" t="s">
        <v>4</v>
      </c>
      <c r="J65" s="244" t="s">
        <v>11</v>
      </c>
      <c r="K65" s="244" t="s">
        <v>179</v>
      </c>
      <c r="L65" s="244" t="s">
        <v>19</v>
      </c>
      <c r="M65" s="244" t="s">
        <v>2001</v>
      </c>
      <c r="N65" s="244" t="s">
        <v>2002</v>
      </c>
      <c r="O65" s="244" t="s">
        <v>1624</v>
      </c>
      <c r="P65" s="244" t="s">
        <v>1442</v>
      </c>
      <c r="Q65" s="244" t="str">
        <f>VLOOKUP(A65,[3]Progress!$A$4:$AO$249,38,0)</f>
        <v>106.543347</v>
      </c>
      <c r="R65" s="2" t="s">
        <v>1624</v>
      </c>
      <c r="S65" s="2" t="s">
        <v>1442</v>
      </c>
      <c r="T65" s="2" t="s">
        <v>1616</v>
      </c>
    </row>
    <row r="66" spans="1:20" ht="45" hidden="1">
      <c r="A66" s="5" t="s">
        <v>1639</v>
      </c>
      <c r="B66" s="243">
        <f>VLOOKUP(A66,[3]Progress!$A$4:$AO$249,2,0)</f>
        <v>30572530031</v>
      </c>
      <c r="C66" s="244">
        <f>VLOOKUP(A66,[3]Progress!$A$4:$AO$249,3,0)</f>
        <v>1317721003</v>
      </c>
      <c r="D66" s="2" t="str">
        <f t="shared" si="1"/>
        <v>JAW-BT-TGR-0043</v>
      </c>
      <c r="E66" s="244" t="str">
        <f>VLOOKUP(A66,[3]Progress!$A$4:$AO$249,5,0)</f>
        <v>SALEMBARAN JAYA KOSAMBI</v>
      </c>
      <c r="F66" s="244">
        <f>VLOOKUP(A66,[3]Progress!$A$4:$AP$249,31,0)</f>
        <v>0</v>
      </c>
      <c r="G66" s="244">
        <f>VLOOKUP(A66,[3]Progress!$A$4:$AP$249,32,0)</f>
        <v>0</v>
      </c>
      <c r="H66" s="244" t="str">
        <f>VLOOKUP(A66,[3]Progress!$A$4:$AP$249,11,0)</f>
        <v>XL</v>
      </c>
      <c r="I66" s="244" t="s">
        <v>4</v>
      </c>
      <c r="J66" s="244" t="s">
        <v>11</v>
      </c>
      <c r="K66" s="244" t="s">
        <v>314</v>
      </c>
      <c r="L66" s="244" t="s">
        <v>19</v>
      </c>
      <c r="M66" s="244" t="s">
        <v>2003</v>
      </c>
      <c r="N66" s="244" t="s">
        <v>2004</v>
      </c>
      <c r="O66" s="244" t="s">
        <v>1629</v>
      </c>
      <c r="P66" s="244" t="s">
        <v>1442</v>
      </c>
      <c r="Q66" s="244" t="str">
        <f>VLOOKUP(A66,[3]Progress!$A$4:$AO$249,38,0)</f>
        <v>106.666176</v>
      </c>
      <c r="R66" s="5" t="s">
        <v>1629</v>
      </c>
      <c r="S66" s="5" t="s">
        <v>1442</v>
      </c>
      <c r="T66" s="5" t="s">
        <v>1640</v>
      </c>
    </row>
    <row r="67" spans="1:20" ht="45" hidden="1">
      <c r="A67" s="5" t="s">
        <v>1641</v>
      </c>
      <c r="B67" s="243" t="str">
        <f>VLOOKUP(A67,[3]Progress!$A$4:$AO$249,2,0)</f>
        <v>JUX569</v>
      </c>
      <c r="C67" s="244" t="str">
        <f>VLOOKUP(A67,[3]Progress!$A$4:$AO$249,3,0)</f>
        <v>JUX569</v>
      </c>
      <c r="D67" s="2" t="str">
        <f t="shared" si="1"/>
        <v>JUX569</v>
      </c>
      <c r="E67" s="244" t="str">
        <f>VLOOKUP(A67,[3]Progress!$A$4:$AO$249,5,0)</f>
        <v>PERMANENCOMBATTERMPENUMPANG</v>
      </c>
      <c r="F67" s="244">
        <f>VLOOKUP(A67,[3]Progress!$A$4:$AP$249,31,0)</f>
        <v>0</v>
      </c>
      <c r="G67" s="244">
        <f>VLOOKUP(A67,[3]Progress!$A$4:$AP$249,32,0)</f>
        <v>0</v>
      </c>
      <c r="H67" s="244" t="str">
        <f>VLOOKUP(A67,[3]Progress!$A$4:$AP$249,11,0)</f>
        <v>TSEL</v>
      </c>
      <c r="I67" s="244" t="s">
        <v>4</v>
      </c>
      <c r="J67" s="244" t="s">
        <v>1447</v>
      </c>
      <c r="K67" s="244" t="s">
        <v>316</v>
      </c>
      <c r="L67" s="244" t="s">
        <v>6</v>
      </c>
      <c r="M67" s="244">
        <v>-6.1032000000000002</v>
      </c>
      <c r="N67" s="244">
        <v>106.88061999999999</v>
      </c>
      <c r="O67" s="244"/>
      <c r="P67" s="244"/>
      <c r="Q67" s="244">
        <f>VLOOKUP(A67,[3]Progress!$A$4:$AO$249,38,0)</f>
        <v>106.88061999999999</v>
      </c>
      <c r="T67" s="2"/>
    </row>
    <row r="68" spans="1:20" ht="45" hidden="1">
      <c r="A68" s="5" t="s">
        <v>1642</v>
      </c>
      <c r="B68" s="243" t="str">
        <f>VLOOKUP(A68,[3]Progress!$A$4:$AO$249,2,0)</f>
        <v>JUX583</v>
      </c>
      <c r="C68" s="244" t="str">
        <f>VLOOKUP(A68,[3]Progress!$A$4:$AO$249,3,0)</f>
        <v>JUX583</v>
      </c>
      <c r="D68" s="2" t="str">
        <f t="shared" si="1"/>
        <v>JUX583</v>
      </c>
      <c r="E68" s="244" t="str">
        <f>VLOOKUP(A68,[3]Progress!$A$4:$AO$249,5,0)</f>
        <v>PERMANENCOMBATKEPANDUANPELINDO</v>
      </c>
      <c r="F68" s="244">
        <f>VLOOKUP(A68,[3]Progress!$A$4:$AP$249,31,0)</f>
        <v>0</v>
      </c>
      <c r="G68" s="244">
        <f>VLOOKUP(A68,[3]Progress!$A$4:$AP$249,32,0)</f>
        <v>0</v>
      </c>
      <c r="H68" s="244" t="str">
        <f>VLOOKUP(A68,[3]Progress!$A$4:$AP$249,11,0)</f>
        <v>TSEL</v>
      </c>
      <c r="I68" s="244" t="s">
        <v>4</v>
      </c>
      <c r="J68" s="244" t="s">
        <v>1447</v>
      </c>
      <c r="K68" s="244" t="s">
        <v>316</v>
      </c>
      <c r="L68" s="244" t="s">
        <v>6</v>
      </c>
      <c r="M68" s="244" t="s">
        <v>2005</v>
      </c>
      <c r="N68" s="244">
        <v>106.88634999999999</v>
      </c>
      <c r="O68" s="244" t="s">
        <v>1643</v>
      </c>
      <c r="P68" s="244" t="s">
        <v>1442</v>
      </c>
      <c r="Q68" s="244">
        <f>VLOOKUP(A68,[3]Progress!$A$4:$AO$249,38,0)</f>
        <v>106.88634999999999</v>
      </c>
      <c r="R68" s="2" t="s">
        <v>1643</v>
      </c>
      <c r="S68" s="2" t="s">
        <v>1442</v>
      </c>
      <c r="T68" s="2"/>
    </row>
    <row r="69" spans="1:20" ht="45" hidden="1">
      <c r="A69" s="5" t="s">
        <v>1644</v>
      </c>
      <c r="B69" s="243" t="str">
        <f>VLOOKUP(A69,[3]Progress!$A$4:$AO$249,2,0)</f>
        <v>0010587910011</v>
      </c>
      <c r="C69" s="244">
        <f>VLOOKUP(A69,[3]Progress!$A$4:$AO$249,3,0)</f>
        <v>1261981001</v>
      </c>
      <c r="D69" s="2" t="str">
        <f t="shared" si="1"/>
        <v>KRW238</v>
      </c>
      <c r="E69" s="244" t="str">
        <f>VLOOKUP(A69,[3]Progress!$A$4:$AO$249,5,0)</f>
        <v>PERUMAHANRESINDA</v>
      </c>
      <c r="F69" s="244">
        <f>VLOOKUP(A69,[3]Progress!$A$4:$AP$249,31,0)</f>
        <v>0</v>
      </c>
      <c r="G69" s="244">
        <f>VLOOKUP(A69,[3]Progress!$A$4:$AP$249,32,0)</f>
        <v>0</v>
      </c>
      <c r="H69" s="244" t="str">
        <f>VLOOKUP(A69,[3]Progress!$A$4:$AP$249,11,0)</f>
        <v>TSEL</v>
      </c>
      <c r="I69" s="244" t="s">
        <v>4</v>
      </c>
      <c r="J69" s="244" t="s">
        <v>1426</v>
      </c>
      <c r="K69" s="244" t="s">
        <v>1975</v>
      </c>
      <c r="L69" s="244" t="s">
        <v>763</v>
      </c>
      <c r="M69" s="244" t="s">
        <v>2006</v>
      </c>
      <c r="N69" s="244" t="s">
        <v>2007</v>
      </c>
      <c r="O69" s="244" t="s">
        <v>1606</v>
      </c>
      <c r="P69" s="244" t="s">
        <v>1577</v>
      </c>
      <c r="Q69" s="244" t="str">
        <f>VLOOKUP(A69,[3]Progress!$A$4:$AO$249,38,0)</f>
        <v>107.27731</v>
      </c>
      <c r="R69" s="5" t="s">
        <v>1606</v>
      </c>
      <c r="S69" s="5" t="s">
        <v>1577</v>
      </c>
      <c r="T69" s="2"/>
    </row>
    <row r="70" spans="1:20" ht="45" hidden="1">
      <c r="A70" s="5" t="s">
        <v>1645</v>
      </c>
      <c r="B70" s="243">
        <f>VLOOKUP(A70,[3]Progress!$A$4:$AO$249,2,0)</f>
        <v>30573420031</v>
      </c>
      <c r="C70" s="244">
        <f>VLOOKUP(A70,[3]Progress!$A$4:$AO$249,3,0)</f>
        <v>1317831003</v>
      </c>
      <c r="D70" s="2" t="str">
        <f t="shared" si="1"/>
        <v>JAW-BT-CPT-0451</v>
      </c>
      <c r="E70" s="244" t="str">
        <f>VLOOKUP(A70,[3]Progress!$A$4:$AO$249,5,0)</f>
        <v>Ciater Serpong</v>
      </c>
      <c r="F70" s="244">
        <f>VLOOKUP(A70,[3]Progress!$A$4:$AP$249,31,0)</f>
        <v>0</v>
      </c>
      <c r="G70" s="244">
        <f>VLOOKUP(A70,[3]Progress!$A$4:$AP$249,32,0)</f>
        <v>0</v>
      </c>
      <c r="H70" s="244" t="str">
        <f>VLOOKUP(A70,[3]Progress!$A$4:$AP$249,11,0)</f>
        <v>XL</v>
      </c>
      <c r="I70" s="244" t="s">
        <v>4</v>
      </c>
      <c r="J70" s="244" t="s">
        <v>11</v>
      </c>
      <c r="K70" s="244" t="s">
        <v>179</v>
      </c>
      <c r="L70" s="244" t="s">
        <v>29</v>
      </c>
      <c r="M70" s="244" t="s">
        <v>2008</v>
      </c>
      <c r="N70" s="244" t="s">
        <v>2009</v>
      </c>
      <c r="O70" s="244"/>
      <c r="P70" s="244"/>
      <c r="Q70" s="244" t="str">
        <f>VLOOKUP(A70,[3]Progress!$A$4:$AO$249,38,0)</f>
        <v>106,69678</v>
      </c>
      <c r="R70" s="5"/>
      <c r="S70" s="5"/>
      <c r="T70" s="2"/>
    </row>
    <row r="71" spans="1:20" ht="45" hidden="1">
      <c r="A71" s="5" t="s">
        <v>1646</v>
      </c>
      <c r="B71" s="243">
        <f>VLOOKUP(A71,[3]Progress!$A$4:$AO$249,2,0)</f>
        <v>30571760031</v>
      </c>
      <c r="C71" s="244">
        <f>VLOOKUP(A71,[3]Progress!$A$4:$AO$249,3,0)</f>
        <v>1127611003</v>
      </c>
      <c r="D71" s="2" t="str">
        <f t="shared" si="1"/>
        <v>JAW-JK-KYB-0097</v>
      </c>
      <c r="E71" s="244" t="str">
        <f>VLOOKUP(A71,[3]Progress!$A$4:$AO$249,5,0)</f>
        <v>Jalan Asem Cipedak</v>
      </c>
      <c r="F71" s="244">
        <f>VLOOKUP(A71,[3]Progress!$A$4:$AP$249,31,0)</f>
        <v>0</v>
      </c>
      <c r="G71" s="244">
        <f>VLOOKUP(A71,[3]Progress!$A$4:$AP$249,32,0)</f>
        <v>0</v>
      </c>
      <c r="H71" s="244" t="str">
        <f>VLOOKUP(A71,[3]Progress!$A$4:$AP$249,11,0)</f>
        <v>XL</v>
      </c>
      <c r="I71" s="244" t="s">
        <v>4</v>
      </c>
      <c r="J71" s="244" t="s">
        <v>5</v>
      </c>
      <c r="K71" s="244" t="s">
        <v>314</v>
      </c>
      <c r="L71" s="244" t="s">
        <v>1079</v>
      </c>
      <c r="M71" s="244">
        <v>-6.3526199999999999</v>
      </c>
      <c r="N71" s="244">
        <v>106.80441</v>
      </c>
      <c r="O71" s="244"/>
      <c r="P71" s="244"/>
      <c r="Q71" s="244">
        <f>VLOOKUP(A71,[3]Progress!$A$4:$AO$249,38,0)</f>
        <v>106.80441</v>
      </c>
      <c r="R71" s="5"/>
      <c r="S71" s="5"/>
      <c r="T71" s="2"/>
    </row>
    <row r="72" spans="1:20" ht="45" hidden="1">
      <c r="A72" s="5" t="s">
        <v>1647</v>
      </c>
      <c r="B72" s="243">
        <f>VLOOKUP(A72,[3]Progress!$A$4:$AO$249,2,0)</f>
        <v>30571970031</v>
      </c>
      <c r="C72" s="244">
        <f>VLOOKUP(A72,[3]Progress!$A$4:$AO$249,3,0)</f>
        <v>1127751003</v>
      </c>
      <c r="D72" s="2" t="str">
        <f t="shared" si="1"/>
        <v>JAW-JK-GGP-0529</v>
      </c>
      <c r="E72" s="244" t="str">
        <f>VLOOKUP(A72,[3]Progress!$A$4:$AO$249,5,0)</f>
        <v>Pegadungan Tegal Alur</v>
      </c>
      <c r="F72" s="244">
        <f>VLOOKUP(A72,[3]Progress!$A$4:$AP$249,31,0)</f>
        <v>0</v>
      </c>
      <c r="G72" s="244">
        <f>VLOOKUP(A72,[3]Progress!$A$4:$AP$249,32,0)</f>
        <v>0</v>
      </c>
      <c r="H72" s="244" t="str">
        <f>VLOOKUP(A72,[3]Progress!$A$4:$AP$249,11,0)</f>
        <v>XL</v>
      </c>
      <c r="I72" s="244" t="s">
        <v>4</v>
      </c>
      <c r="J72" s="244" t="s">
        <v>5</v>
      </c>
      <c r="K72" s="244" t="s">
        <v>179</v>
      </c>
      <c r="L72" s="244" t="s">
        <v>505</v>
      </c>
      <c r="M72" s="244">
        <v>-6.1162700000000001</v>
      </c>
      <c r="N72" s="244">
        <v>106.70492</v>
      </c>
      <c r="O72" s="244"/>
      <c r="P72" s="244"/>
      <c r="Q72" s="244">
        <f>VLOOKUP(A72,[3]Progress!$A$4:$AO$249,38,0)</f>
        <v>106.70492</v>
      </c>
      <c r="R72" s="5"/>
      <c r="S72" s="5"/>
      <c r="T72" s="2"/>
    </row>
    <row r="73" spans="1:20" ht="45" hidden="1">
      <c r="A73" s="5" t="s">
        <v>1648</v>
      </c>
      <c r="B73" s="243">
        <f>VLOOKUP(A73,[3]Progress!$A$4:$AO$249,2,0)</f>
        <v>10587890011</v>
      </c>
      <c r="C73" s="244">
        <f>VLOOKUP(A73,[3]Progress!$A$4:$AO$249,3,0)</f>
        <v>1261961001</v>
      </c>
      <c r="D73" s="940" t="str">
        <f t="shared" si="1"/>
        <v>CBN552</v>
      </c>
      <c r="E73" s="244" t="str">
        <f>VLOOKUP(A73,[3]Progress!$A$4:$AO$249,5,0)</f>
        <v>PERMANENCOMBATPUSDIKRESKRIM</v>
      </c>
      <c r="F73" s="244">
        <f>VLOOKUP(A73,[3]Progress!$A$4:$AP$249,31,0)</f>
        <v>0</v>
      </c>
      <c r="G73" s="244">
        <f>VLOOKUP(A73,[3]Progress!$A$4:$AP$249,32,0)</f>
        <v>0</v>
      </c>
      <c r="H73" s="244" t="str">
        <f>VLOOKUP(A73,[3]Progress!$A$4:$AP$249,11,0)</f>
        <v>TSEL</v>
      </c>
      <c r="I73" s="244" t="s">
        <v>4</v>
      </c>
      <c r="J73" s="244" t="s">
        <v>1426</v>
      </c>
      <c r="K73" s="244" t="s">
        <v>178</v>
      </c>
      <c r="L73" s="244" t="s">
        <v>26</v>
      </c>
      <c r="M73" s="244" t="s">
        <v>2010</v>
      </c>
      <c r="N73" s="244">
        <v>106.92576</v>
      </c>
      <c r="O73" s="244"/>
      <c r="P73" s="244" t="s">
        <v>1577</v>
      </c>
      <c r="Q73" s="244">
        <f>VLOOKUP(A73,[3]Progress!$A$4:$AO$249,38,0)</f>
        <v>106.92576</v>
      </c>
      <c r="R73" s="41"/>
      <c r="S73" s="41" t="s">
        <v>1577</v>
      </c>
      <c r="T73" s="2"/>
    </row>
    <row r="74" spans="1:20" ht="90" hidden="1">
      <c r="A74" s="5" t="s">
        <v>1649</v>
      </c>
      <c r="B74" s="243">
        <v>30572260031</v>
      </c>
      <c r="C74" s="244">
        <v>1127801003</v>
      </c>
      <c r="D74" s="2" t="s">
        <v>1649</v>
      </c>
      <c r="E74" s="244" t="s">
        <v>1650</v>
      </c>
      <c r="F74" s="244" t="s">
        <v>1118</v>
      </c>
      <c r="G74" s="244" t="s">
        <v>100</v>
      </c>
      <c r="H74" s="244" t="s">
        <v>16</v>
      </c>
      <c r="I74" s="244" t="s">
        <v>1651</v>
      </c>
      <c r="J74" s="244" t="s">
        <v>5</v>
      </c>
      <c r="K74" s="244" t="s">
        <v>1652</v>
      </c>
      <c r="L74" s="244" t="s">
        <v>35</v>
      </c>
      <c r="M74" s="244" t="s">
        <v>1653</v>
      </c>
      <c r="N74" s="244" t="s">
        <v>1510</v>
      </c>
      <c r="O74" s="244"/>
      <c r="P74" s="244"/>
      <c r="Q74" s="244" t="s">
        <v>1510</v>
      </c>
      <c r="R74" s="5"/>
      <c r="S74" s="5"/>
      <c r="T74" s="2"/>
    </row>
    <row r="75" spans="1:20" ht="45" hidden="1">
      <c r="A75" s="5" t="s">
        <v>1654</v>
      </c>
      <c r="B75" s="243">
        <f>VLOOKUP(A75,[3]Progress!$A$4:$AO$249,2,0)</f>
        <v>30572550031</v>
      </c>
      <c r="C75" s="244">
        <f>VLOOKUP(A75,[3]Progress!$A$4:$AO$249,3,0)</f>
        <v>1317741003</v>
      </c>
      <c r="D75" s="2" t="str">
        <f t="shared" si="1"/>
        <v>JAW-BT-TGR-0045</v>
      </c>
      <c r="E75" s="244" t="str">
        <f>VLOOKUP(A75,[3]Progress!$A$4:$AO$249,5,0)</f>
        <v>KAMPUNG BESAR TELUK NAGA</v>
      </c>
      <c r="F75" s="244">
        <f>VLOOKUP(A75,[3]Progress!$A$4:$AP$249,31,0)</f>
        <v>0</v>
      </c>
      <c r="G75" s="244">
        <f>VLOOKUP(A75,[3]Progress!$A$4:$AP$249,32,0)</f>
        <v>0</v>
      </c>
      <c r="H75" s="244" t="str">
        <f>VLOOKUP(A75,[3]Progress!$A$4:$AP$249,11,0)</f>
        <v>XL</v>
      </c>
      <c r="I75" s="244" t="s">
        <v>4</v>
      </c>
      <c r="J75" s="244" t="s">
        <v>11</v>
      </c>
      <c r="K75" s="244" t="s">
        <v>179</v>
      </c>
      <c r="L75" s="244" t="s">
        <v>19</v>
      </c>
      <c r="M75" s="244">
        <v>-6.0623579999999997</v>
      </c>
      <c r="N75" s="244">
        <v>106.654625</v>
      </c>
      <c r="O75" s="244" t="s">
        <v>1655</v>
      </c>
      <c r="P75" s="244" t="s">
        <v>1442</v>
      </c>
      <c r="Q75" s="244">
        <f>VLOOKUP(A75,[3]Progress!$A$4:$AO$249,38,0)</f>
        <v>106.654625</v>
      </c>
      <c r="R75" s="5" t="s">
        <v>1655</v>
      </c>
      <c r="S75" s="5" t="s">
        <v>1442</v>
      </c>
      <c r="T75" s="2"/>
    </row>
    <row r="76" spans="1:20" ht="45" hidden="1">
      <c r="A76" s="5" t="s">
        <v>1656</v>
      </c>
      <c r="B76" s="243">
        <f>VLOOKUP(A76,[3]Progress!$A$4:$AO$249,2,0)</f>
        <v>30572410031</v>
      </c>
      <c r="C76" s="244">
        <f>VLOOKUP(A76,[3]Progress!$A$4:$AO$249,3,0)</f>
        <v>1317601003</v>
      </c>
      <c r="D76" s="2" t="str">
        <f t="shared" si="1"/>
        <v>JAW-BT-CPT-0460</v>
      </c>
      <c r="E76" s="244" t="str">
        <f>VLOOKUP(A76,[3]Progress!$A$4:$AO$249,5,0)</f>
        <v>VILLA MELATI MAS RAYA</v>
      </c>
      <c r="F76" s="244">
        <f>VLOOKUP(A76,[3]Progress!$A$4:$AP$249,31,0)</f>
        <v>0</v>
      </c>
      <c r="G76" s="244">
        <f>VLOOKUP(A76,[3]Progress!$A$4:$AP$249,32,0)</f>
        <v>0</v>
      </c>
      <c r="H76" s="244" t="str">
        <f>VLOOKUP(A76,[3]Progress!$A$4:$AP$249,11,0)</f>
        <v>XL</v>
      </c>
      <c r="I76" s="244" t="s">
        <v>4</v>
      </c>
      <c r="J76" s="244" t="s">
        <v>11</v>
      </c>
      <c r="K76" s="244" t="s">
        <v>314</v>
      </c>
      <c r="L76" s="244" t="s">
        <v>29</v>
      </c>
      <c r="M76" s="244" t="s">
        <v>2011</v>
      </c>
      <c r="N76" s="244" t="s">
        <v>2012</v>
      </c>
      <c r="O76" s="244"/>
      <c r="P76" s="244"/>
      <c r="Q76" s="244" t="str">
        <f>VLOOKUP(A76,[3]Progress!$A$4:$AO$249,38,0)</f>
        <v>106.6655</v>
      </c>
      <c r="T76" s="2"/>
    </row>
    <row r="77" spans="1:20" ht="45" hidden="1">
      <c r="A77" s="5" t="s">
        <v>144</v>
      </c>
      <c r="B77" s="243">
        <f>VLOOKUP(A77,[3]Progress!$A$4:$AO$249,2,0)</f>
        <v>230580710231</v>
      </c>
      <c r="C77" s="244">
        <f>VLOOKUP(A77,[3]Progress!$A$4:$AO$249,3,0)</f>
        <v>1317981023</v>
      </c>
      <c r="D77" s="2" t="str">
        <f t="shared" si="1"/>
        <v>ZJKT2_6087</v>
      </c>
      <c r="E77" s="244" t="str">
        <f>VLOOKUP(A77,[3]Progress!$A$4:$AO$249,5,0)</f>
        <v>WANA KERTA SINDANG JAYA</v>
      </c>
      <c r="F77" s="244">
        <f>VLOOKUP(A77,[3]Progress!$A$4:$AP$249,31,0)</f>
        <v>0</v>
      </c>
      <c r="G77" s="244">
        <f>VLOOKUP(A77,[3]Progress!$A$4:$AP$249,32,0)</f>
        <v>0</v>
      </c>
      <c r="H77" s="244" t="str">
        <f>VLOOKUP(A77,[3]Progress!$A$4:$AP$249,11,0)</f>
        <v>SMARTFREN</v>
      </c>
      <c r="I77" s="244" t="s">
        <v>4</v>
      </c>
      <c r="J77" s="244" t="s">
        <v>11</v>
      </c>
      <c r="K77" s="244" t="s">
        <v>314</v>
      </c>
      <c r="L77" s="244" t="s">
        <v>19</v>
      </c>
      <c r="M77" s="244" t="s">
        <v>2013</v>
      </c>
      <c r="N77" s="244" t="s">
        <v>2014</v>
      </c>
      <c r="O77" s="244" t="s">
        <v>1655</v>
      </c>
      <c r="P77" s="244" t="s">
        <v>1442</v>
      </c>
      <c r="Q77" s="244" t="str">
        <f>VLOOKUP(A77,[3]Progress!$A$4:$AO$249,38,0)</f>
        <v>106.50744</v>
      </c>
      <c r="R77" s="5" t="s">
        <v>1655</v>
      </c>
      <c r="S77" s="5" t="s">
        <v>1442</v>
      </c>
      <c r="T77" s="2"/>
    </row>
    <row r="78" spans="1:20" ht="45" hidden="1">
      <c r="A78" s="5" t="s">
        <v>432</v>
      </c>
      <c r="B78" s="243">
        <f>VLOOKUP(A78,[3]Progress!$A$4:$AO$249,2,0)</f>
        <v>30572030031</v>
      </c>
      <c r="C78" s="244">
        <f>VLOOKUP(A78,[3]Progress!$A$4:$AO$249,3,0)</f>
        <v>1317421003</v>
      </c>
      <c r="D78" s="2" t="str">
        <f t="shared" si="1"/>
        <v>JAW-BT-TNG-1457</v>
      </c>
      <c r="E78" s="244" t="str">
        <f>VLOOKUP(A78,[3]Progress!$A$4:$AO$249,5,0)</f>
        <v>Kedaung Wetan Neglasari</v>
      </c>
      <c r="F78" s="244">
        <f>VLOOKUP(A78,[3]Progress!$A$4:$AP$249,31,0)</f>
        <v>0</v>
      </c>
      <c r="G78" s="244">
        <f>VLOOKUP(A78,[3]Progress!$A$4:$AP$249,32,0)</f>
        <v>0</v>
      </c>
      <c r="H78" s="244" t="str">
        <f>VLOOKUP(A78,[3]Progress!$A$4:$AP$249,11,0)</f>
        <v>XL</v>
      </c>
      <c r="I78" s="244" t="s">
        <v>4</v>
      </c>
      <c r="J78" s="244" t="s">
        <v>5</v>
      </c>
      <c r="K78" s="244" t="s">
        <v>179</v>
      </c>
      <c r="L78" s="244" t="s">
        <v>21</v>
      </c>
      <c r="M78" s="244">
        <v>-6.1250499999999999</v>
      </c>
      <c r="N78" s="244">
        <v>106.62608</v>
      </c>
      <c r="O78" s="244"/>
      <c r="P78" s="244"/>
      <c r="Q78" s="244">
        <f>VLOOKUP(A78,[3]Progress!$A$4:$AO$249,38,0)</f>
        <v>106.62608</v>
      </c>
      <c r="T78" s="2"/>
    </row>
    <row r="79" spans="1:20" ht="45" hidden="1">
      <c r="A79" s="5" t="s">
        <v>1657</v>
      </c>
      <c r="B79" s="243">
        <f>VLOOKUP(A79,[3]Progress!$A$4:$AO$249,2,0)</f>
        <v>30571750031</v>
      </c>
      <c r="C79" s="244">
        <f>VLOOKUP(A79,[3]Progress!$A$4:$AO$249,3,0)</f>
        <v>1127601003</v>
      </c>
      <c r="D79" s="2" t="str">
        <f t="shared" si="1"/>
        <v>JAW-JK-KYB-0096</v>
      </c>
      <c r="E79" s="244" t="str">
        <f>VLOOKUP(A79,[3]Progress!$A$4:$AO$249,5,0)</f>
        <v>Jalan Garuda Mas</v>
      </c>
      <c r="F79" s="244">
        <f>VLOOKUP(A79,[3]Progress!$A$4:$AP$249,31,0)</f>
        <v>0</v>
      </c>
      <c r="G79" s="244">
        <f>VLOOKUP(A79,[3]Progress!$A$4:$AP$249,32,0)</f>
        <v>0</v>
      </c>
      <c r="H79" s="244" t="str">
        <f>VLOOKUP(A79,[3]Progress!$A$4:$AP$249,11,0)</f>
        <v>XL</v>
      </c>
      <c r="I79" s="244" t="s">
        <v>4</v>
      </c>
      <c r="J79" s="244" t="s">
        <v>5</v>
      </c>
      <c r="K79" s="244" t="s">
        <v>2015</v>
      </c>
      <c r="L79" s="244" t="s">
        <v>1079</v>
      </c>
      <c r="M79" s="244" t="s">
        <v>2016</v>
      </c>
      <c r="N79" s="244" t="s">
        <v>2017</v>
      </c>
      <c r="O79" s="244"/>
      <c r="P79" s="244"/>
      <c r="Q79" s="244" t="str">
        <f>VLOOKUP(A79,[3]Progress!$A$4:$AO$249,38,0)</f>
        <v>106.84661</v>
      </c>
      <c r="T79" s="2"/>
    </row>
    <row r="80" spans="1:20" ht="45" hidden="1">
      <c r="A80" s="5" t="s">
        <v>1658</v>
      </c>
      <c r="B80" s="243">
        <f>VLOOKUP(A80,[3]Progress!$A$4:$AO$249,2,0)</f>
        <v>230575290231</v>
      </c>
      <c r="C80" s="244">
        <f>VLOOKUP(A80,[3]Progress!$A$4:$AO$249,3,0)</f>
        <v>1317861023</v>
      </c>
      <c r="D80" s="2" t="str">
        <f t="shared" si="1"/>
        <v>ZJKT2_4537</v>
      </c>
      <c r="E80" s="244" t="str">
        <f>VLOOKUP(A80,[3]Progress!$A$4:$AO$249,5,0)</f>
        <v>KARAWACI 850</v>
      </c>
      <c r="F80" s="244">
        <f>VLOOKUP(A80,[3]Progress!$A$4:$AP$249,31,0)</f>
        <v>0</v>
      </c>
      <c r="G80" s="244">
        <f>VLOOKUP(A80,[3]Progress!$A$4:$AP$249,32,0)</f>
        <v>0</v>
      </c>
      <c r="H80" s="244" t="str">
        <f>VLOOKUP(A80,[3]Progress!$A$4:$AP$249,11,0)</f>
        <v>SMARTFREN</v>
      </c>
      <c r="I80" s="244" t="s">
        <v>4</v>
      </c>
      <c r="J80" s="244" t="s">
        <v>5</v>
      </c>
      <c r="K80" s="244" t="s">
        <v>316</v>
      </c>
      <c r="L80" s="244" t="s">
        <v>21</v>
      </c>
      <c r="M80" s="244" t="s">
        <v>2018</v>
      </c>
      <c r="N80" s="244" t="s">
        <v>2019</v>
      </c>
      <c r="O80" s="244" t="s">
        <v>1659</v>
      </c>
      <c r="P80" s="244" t="s">
        <v>1577</v>
      </c>
      <c r="Q80" s="244" t="str">
        <f>VLOOKUP(A80,[3]Progress!$A$4:$AO$249,38,0)</f>
        <v>106.62659</v>
      </c>
      <c r="R80" s="2" t="s">
        <v>1659</v>
      </c>
      <c r="S80" s="2" t="s">
        <v>1577</v>
      </c>
      <c r="T80" s="2"/>
    </row>
    <row r="81" spans="1:20" ht="45" hidden="1">
      <c r="A81" s="5" t="s">
        <v>1660</v>
      </c>
      <c r="B81" s="243">
        <f>VLOOKUP(A81,[3]Progress!$A$4:$AO$249,2,0)</f>
        <v>230579580231</v>
      </c>
      <c r="C81" s="244">
        <f>VLOOKUP(A81,[3]Progress!$A$4:$AO$249,3,0)</f>
        <v>1317931023</v>
      </c>
      <c r="D81" s="2" t="str">
        <f t="shared" si="1"/>
        <v>ZJKT2_5966</v>
      </c>
      <c r="E81" s="244" t="str">
        <f>VLOOKUP(A81,[3]Progress!$A$4:$AO$249,5,0)</f>
        <v>BOJONG NANGKA KELAPA DUA</v>
      </c>
      <c r="F81" s="244">
        <f>VLOOKUP(A81,[3]Progress!$A$4:$AP$249,31,0)</f>
        <v>0</v>
      </c>
      <c r="G81" s="244">
        <f>VLOOKUP(A81,[3]Progress!$A$4:$AP$249,32,0)</f>
        <v>0</v>
      </c>
      <c r="H81" s="244" t="str">
        <f>VLOOKUP(A81,[3]Progress!$A$4:$AP$249,11,0)</f>
        <v>SMARTFREN</v>
      </c>
      <c r="I81" s="244" t="s">
        <v>4</v>
      </c>
      <c r="J81" s="244" t="s">
        <v>11</v>
      </c>
      <c r="K81" s="244" t="s">
        <v>314</v>
      </c>
      <c r="L81" s="244" t="s">
        <v>19</v>
      </c>
      <c r="M81" s="244">
        <v>-6.2671919999999997</v>
      </c>
      <c r="N81" s="244">
        <v>106.59702</v>
      </c>
      <c r="O81" s="244" t="s">
        <v>1441</v>
      </c>
      <c r="P81" s="244" t="s">
        <v>1577</v>
      </c>
      <c r="Q81" s="244">
        <f>VLOOKUP(A81,[3]Progress!$A$4:$AO$249,38,0)</f>
        <v>106.59702</v>
      </c>
      <c r="R81" s="2" t="s">
        <v>1441</v>
      </c>
      <c r="S81" s="2" t="s">
        <v>1577</v>
      </c>
      <c r="T81" s="2"/>
    </row>
    <row r="82" spans="1:20" ht="45" hidden="1">
      <c r="A82" s="5" t="s">
        <v>146</v>
      </c>
      <c r="B82" s="243">
        <f>VLOOKUP(A82,[3]Progress!$A$4:$AO$249,2,0)</f>
        <v>230560240231</v>
      </c>
      <c r="C82" s="244">
        <f>VLOOKUP(A82,[3]Progress!$A$4:$AO$249,3,0)</f>
        <v>1317261023</v>
      </c>
      <c r="D82" s="2" t="str">
        <f t="shared" si="1"/>
        <v>ZJKT_5552</v>
      </c>
      <c r="E82" s="244" t="str">
        <f>VLOOKUP(A82,[3]Progress!$A$4:$AO$249,5,0)</f>
        <v>SEPATAN TANGERANG</v>
      </c>
      <c r="F82" s="244">
        <f>VLOOKUP(A82,[3]Progress!$A$4:$AP$249,31,0)</f>
        <v>0</v>
      </c>
      <c r="G82" s="244">
        <f>VLOOKUP(A82,[3]Progress!$A$4:$AP$249,32,0)</f>
        <v>0</v>
      </c>
      <c r="H82" s="244" t="str">
        <f>VLOOKUP(A82,[3]Progress!$A$4:$AP$249,11,0)</f>
        <v>SMARTFREN</v>
      </c>
      <c r="I82" s="244" t="s">
        <v>4</v>
      </c>
      <c r="J82" s="244" t="s">
        <v>11</v>
      </c>
      <c r="K82" s="244" t="s">
        <v>323</v>
      </c>
      <c r="L82" s="244" t="s">
        <v>19</v>
      </c>
      <c r="M82" s="244" t="s">
        <v>2020</v>
      </c>
      <c r="N82" s="244" t="s">
        <v>2021</v>
      </c>
      <c r="O82" s="244" t="s">
        <v>1441</v>
      </c>
      <c r="P82" s="244" t="s">
        <v>1577</v>
      </c>
      <c r="Q82" s="244" t="str">
        <f>VLOOKUP(A82,[3]Progress!$A$4:$AO$249,38,0)</f>
        <v>106.58908</v>
      </c>
      <c r="R82" s="2" t="s">
        <v>1441</v>
      </c>
      <c r="S82" s="2" t="s">
        <v>1577</v>
      </c>
      <c r="T82" s="2"/>
    </row>
    <row r="83" spans="1:20" ht="45" hidden="1">
      <c r="A83" s="5" t="s">
        <v>1661</v>
      </c>
      <c r="B83" s="243">
        <f>VLOOKUP(A83,[3]Progress!$A$4:$AO$249,2,0)</f>
        <v>230560370231</v>
      </c>
      <c r="C83" s="244">
        <f>VLOOKUP(A83,[3]Progress!$A$4:$AO$249,3,0)</f>
        <v>1260581023</v>
      </c>
      <c r="D83" s="2" t="str">
        <f t="shared" si="1"/>
        <v>ZJKT2_5014</v>
      </c>
      <c r="E83" s="244" t="str">
        <f>VLOOKUP(A83,[3]Progress!$A$4:$AO$249,5,0)</f>
        <v>TELUKJAMBE TIMUR</v>
      </c>
      <c r="F83" s="244">
        <f>VLOOKUP(A83,[3]Progress!$A$4:$AP$249,31,0)</f>
        <v>0</v>
      </c>
      <c r="G83" s="244">
        <f>VLOOKUP(A83,[3]Progress!$A$4:$AP$249,32,0)</f>
        <v>0</v>
      </c>
      <c r="H83" s="244" t="str">
        <f>VLOOKUP(A83,[3]Progress!$A$4:$AP$249,11,0)</f>
        <v>SMARTFREN</v>
      </c>
      <c r="I83" s="244" t="s">
        <v>4</v>
      </c>
      <c r="J83" s="244" t="s">
        <v>11</v>
      </c>
      <c r="K83" s="244" t="s">
        <v>178</v>
      </c>
      <c r="L83" s="244" t="s">
        <v>763</v>
      </c>
      <c r="M83" s="244">
        <v>-6.3369</v>
      </c>
      <c r="N83" s="244" t="s">
        <v>2022</v>
      </c>
      <c r="O83" s="244"/>
      <c r="P83" s="244"/>
      <c r="Q83" s="244" t="str">
        <f>VLOOKUP(A83,[3]Progress!$A$4:$AO$249,38,0)</f>
        <v>107.291</v>
      </c>
      <c r="T83" s="2"/>
    </row>
    <row r="84" spans="1:20" ht="45" hidden="1">
      <c r="A84" s="5" t="s">
        <v>140</v>
      </c>
      <c r="B84" s="243">
        <f>VLOOKUP(A84,[3]Progress!$A$4:$AO$249,2,0)</f>
        <v>230579860231</v>
      </c>
      <c r="C84" s="244">
        <f>VLOOKUP(A84,[3]Progress!$A$4:$AO$249,3,0)</f>
        <v>1128021023</v>
      </c>
      <c r="D84" s="2" t="str">
        <f t="shared" si="1"/>
        <v>ZJKT2_6011</v>
      </c>
      <c r="E84" s="244" t="str">
        <f>VLOOKUP(A84,[3]Progress!$A$4:$AO$249,5,0)</f>
        <v>LUBANG BUAYA CIPAYUNG</v>
      </c>
      <c r="F84" s="244">
        <f>VLOOKUP(A84,[3]Progress!$A$4:$AP$249,31,0)</f>
        <v>0</v>
      </c>
      <c r="G84" s="244">
        <f>VLOOKUP(A84,[3]Progress!$A$4:$AP$249,32,0)</f>
        <v>0</v>
      </c>
      <c r="H84" s="244" t="str">
        <f>VLOOKUP(A84,[3]Progress!$A$4:$AP$249,11,0)</f>
        <v>SMARTFREN</v>
      </c>
      <c r="I84" s="244" t="s">
        <v>4</v>
      </c>
      <c r="J84" s="244" t="s">
        <v>5</v>
      </c>
      <c r="K84" s="244" t="s">
        <v>179</v>
      </c>
      <c r="L84" s="244" t="s">
        <v>35</v>
      </c>
      <c r="M84" s="244" t="s">
        <v>2023</v>
      </c>
      <c r="N84" s="244" t="s">
        <v>2024</v>
      </c>
      <c r="O84" s="244"/>
      <c r="P84" s="244"/>
      <c r="Q84" s="244" t="str">
        <f>VLOOKUP(A84,[3]Progress!$A$4:$AO$249,38,0)</f>
        <v>106.8975</v>
      </c>
      <c r="T84" s="2"/>
    </row>
    <row r="85" spans="1:20" ht="45" hidden="1">
      <c r="A85" s="5" t="s">
        <v>1662</v>
      </c>
      <c r="B85" s="243">
        <f>VLOOKUP(A85,[3]Progress!$A$4:$AO$249,2,0)</f>
        <v>30572540031</v>
      </c>
      <c r="C85" s="244">
        <f>VLOOKUP(A85,[3]Progress!$A$4:$AO$249,3,0)</f>
        <v>1317731003</v>
      </c>
      <c r="D85" s="2" t="str">
        <f t="shared" si="1"/>
        <v>JAW-BT-TGR-0044</v>
      </c>
      <c r="E85" s="244" t="str">
        <f>VLOOKUP(A85,[3]Progress!$A$4:$AO$249,5,0)</f>
        <v>PANTAI DADAP</v>
      </c>
      <c r="F85" s="244">
        <f>VLOOKUP(A85,[3]Progress!$A$4:$AP$249,31,0)</f>
        <v>0</v>
      </c>
      <c r="G85" s="244">
        <f>VLOOKUP(A85,[3]Progress!$A$4:$AP$249,32,0)</f>
        <v>0</v>
      </c>
      <c r="H85" s="244" t="str">
        <f>VLOOKUP(A85,[3]Progress!$A$4:$AP$249,11,0)</f>
        <v>XL</v>
      </c>
      <c r="I85" s="244" t="s">
        <v>4</v>
      </c>
      <c r="J85" s="244" t="s">
        <v>11</v>
      </c>
      <c r="K85" s="244" t="s">
        <v>179</v>
      </c>
      <c r="L85" s="244" t="s">
        <v>19</v>
      </c>
      <c r="M85" s="244">
        <v>-6.0887599999999997</v>
      </c>
      <c r="N85" s="244">
        <v>106.72031</v>
      </c>
      <c r="O85" s="244" t="s">
        <v>1659</v>
      </c>
      <c r="P85" s="244" t="s">
        <v>1577</v>
      </c>
      <c r="Q85" s="244">
        <f>VLOOKUP(A85,[3]Progress!$A$4:$AO$249,38,0)</f>
        <v>106.72031</v>
      </c>
      <c r="R85" s="2" t="s">
        <v>1659</v>
      </c>
      <c r="S85" s="2" t="s">
        <v>1577</v>
      </c>
      <c r="T85" s="2"/>
    </row>
    <row r="86" spans="1:20" ht="45" hidden="1">
      <c r="A86" s="5" t="s">
        <v>1663</v>
      </c>
      <c r="B86" s="243">
        <f>VLOOKUP(A86,[3]Progress!$A$4:$AO$249,2,0)</f>
        <v>30573640031</v>
      </c>
      <c r="C86" s="244">
        <f>VLOOKUP(A86,[3]Progress!$A$4:$AO$249,3,0)</f>
        <v>1127961003</v>
      </c>
      <c r="D86" s="2" t="str">
        <f t="shared" si="1"/>
        <v>JAW-JK-CKG-0662</v>
      </c>
      <c r="E86" s="244" t="str">
        <f>VLOOKUP(A86,[3]Progress!$A$4:$AO$249,5,0)</f>
        <v>Nyiur Pondok Kelapa</v>
      </c>
      <c r="F86" s="244">
        <f>VLOOKUP(A86,[3]Progress!$A$4:$AP$249,31,0)</f>
        <v>0</v>
      </c>
      <c r="G86" s="244">
        <f>VLOOKUP(A86,[3]Progress!$A$4:$AP$249,32,0)</f>
        <v>0</v>
      </c>
      <c r="H86" s="244" t="str">
        <f>VLOOKUP(A86,[3]Progress!$A$4:$AP$249,11,0)</f>
        <v>XL</v>
      </c>
      <c r="I86" s="244" t="s">
        <v>4</v>
      </c>
      <c r="J86" s="244" t="s">
        <v>5</v>
      </c>
      <c r="K86" s="244" t="s">
        <v>2025</v>
      </c>
      <c r="L86" s="244" t="s">
        <v>35</v>
      </c>
      <c r="M86" s="244" t="s">
        <v>2026</v>
      </c>
      <c r="N86" s="244" t="s">
        <v>2027</v>
      </c>
      <c r="O86" s="244"/>
      <c r="P86" s="244"/>
      <c r="Q86" s="244" t="str">
        <f>VLOOKUP(A86,[3]Progress!$A$4:$AO$249,38,0)</f>
        <v>106.92663</v>
      </c>
      <c r="T86" s="2"/>
    </row>
    <row r="87" spans="1:20" ht="45" hidden="1">
      <c r="A87" s="5" t="s">
        <v>1664</v>
      </c>
      <c r="B87" s="243">
        <f>VLOOKUP(A87,[3]Progress!$A$4:$AO$249,2,0)</f>
        <v>30571770031</v>
      </c>
      <c r="C87" s="244">
        <f>VLOOKUP(A87,[3]Progress!$A$4:$AO$249,3,0)</f>
        <v>1127621003</v>
      </c>
      <c r="D87" s="2" t="str">
        <f t="shared" si="1"/>
        <v>JAW-JK-KYB-0098</v>
      </c>
      <c r="E87" s="244" t="str">
        <f>VLOOKUP(A87,[3]Progress!$A$4:$AO$249,5,0)</f>
        <v>Jalan Pemuda Cipedak</v>
      </c>
      <c r="F87" s="244">
        <f>VLOOKUP(A87,[3]Progress!$A$4:$AP$249,31,0)</f>
        <v>0</v>
      </c>
      <c r="G87" s="244">
        <f>VLOOKUP(A87,[3]Progress!$A$4:$AP$249,32,0)</f>
        <v>0</v>
      </c>
      <c r="H87" s="244" t="str">
        <f>VLOOKUP(A87,[3]Progress!$A$4:$AP$249,11,0)</f>
        <v>XL</v>
      </c>
      <c r="I87" s="244" t="s">
        <v>4</v>
      </c>
      <c r="J87" s="244" t="s">
        <v>5</v>
      </c>
      <c r="K87" s="244" t="s">
        <v>323</v>
      </c>
      <c r="L87" s="244" t="s">
        <v>1079</v>
      </c>
      <c r="M87" s="244">
        <v>-6.3587499999999997</v>
      </c>
      <c r="N87" s="244">
        <v>106.81216000000001</v>
      </c>
      <c r="O87" s="244"/>
      <c r="P87" s="244"/>
      <c r="Q87" s="244">
        <f>VLOOKUP(A87,[3]Progress!$A$4:$AO$249,38,0)</f>
        <v>106.81216000000001</v>
      </c>
      <c r="T87" s="2"/>
    </row>
    <row r="88" spans="1:20" ht="45" hidden="1">
      <c r="A88" s="5" t="s">
        <v>1649</v>
      </c>
      <c r="B88" s="243">
        <f>VLOOKUP(A88,[3]Progress!$A$4:$AO$249,2,0)</f>
        <v>30572260031</v>
      </c>
      <c r="C88" s="244">
        <f>VLOOKUP(A88,[3]Progress!$A$4:$AO$249,3,0)</f>
        <v>1127801003</v>
      </c>
      <c r="D88" s="2" t="str">
        <f t="shared" si="1"/>
        <v>JAW-JK-CKG-0666</v>
      </c>
      <c r="E88" s="244" t="str">
        <f>VLOOKUP(A88,[3]Progress!$A$4:$AO$249,5,0)</f>
        <v>Kemuning Matraman</v>
      </c>
      <c r="F88" s="244">
        <f>VLOOKUP(A88,[3]Progress!$A$4:$AP$249,31,0)</f>
        <v>0</v>
      </c>
      <c r="G88" s="244">
        <f>VLOOKUP(A88,[3]Progress!$A$4:$AP$249,32,0)</f>
        <v>0</v>
      </c>
      <c r="H88" s="244" t="str">
        <f>VLOOKUP(A88,[3]Progress!$A$4:$AP$249,11,0)</f>
        <v>XL</v>
      </c>
      <c r="I88" s="244" t="s">
        <v>4</v>
      </c>
      <c r="J88" s="244" t="s">
        <v>5</v>
      </c>
      <c r="K88" s="244" t="s">
        <v>323</v>
      </c>
      <c r="L88" s="244" t="s">
        <v>35</v>
      </c>
      <c r="M88" s="244">
        <v>-6.1975600000000002</v>
      </c>
      <c r="N88" s="244">
        <v>106.8626</v>
      </c>
      <c r="O88" s="244"/>
      <c r="P88" s="244"/>
      <c r="Q88" s="244">
        <f>VLOOKUP(A88,[3]Progress!$A$4:$AO$249,38,0)</f>
        <v>106.8626</v>
      </c>
      <c r="T88" s="2"/>
    </row>
    <row r="89" spans="1:20" ht="45" hidden="1">
      <c r="A89" s="5" t="s">
        <v>138</v>
      </c>
      <c r="B89" s="243">
        <f>VLOOKUP(A89,[3]Progress!$A$4:$AO$249,2,0)</f>
        <v>30572500031</v>
      </c>
      <c r="C89" s="244">
        <f>VLOOKUP(A89,[3]Progress!$A$4:$AO$249,3,0)</f>
        <v>1317691003</v>
      </c>
      <c r="D89" s="2" t="str">
        <f t="shared" si="1"/>
        <v>JAW-BT-CPT-0472</v>
      </c>
      <c r="E89" s="244" t="str">
        <f>VLOOKUP(A89,[3]Progress!$A$4:$AO$249,5,0)</f>
        <v>WIJAYAKUSUMA CEGER</v>
      </c>
      <c r="F89" s="244">
        <f>VLOOKUP(A89,[3]Progress!$A$4:$AP$249,31,0)</f>
        <v>0</v>
      </c>
      <c r="G89" s="244">
        <f>VLOOKUP(A89,[3]Progress!$A$4:$AP$249,32,0)</f>
        <v>0</v>
      </c>
      <c r="H89" s="244" t="str">
        <f>VLOOKUP(A89,[3]Progress!$A$4:$AP$249,11,0)</f>
        <v>XL</v>
      </c>
      <c r="I89" s="244" t="s">
        <v>4</v>
      </c>
      <c r="J89" s="244" t="s">
        <v>11</v>
      </c>
      <c r="K89" s="244" t="s">
        <v>179</v>
      </c>
      <c r="L89" s="244" t="s">
        <v>29</v>
      </c>
      <c r="M89" s="244">
        <v>-6.2618200000000002</v>
      </c>
      <c r="N89" s="244">
        <v>106.72736999999999</v>
      </c>
      <c r="O89" s="244"/>
      <c r="P89" s="244"/>
      <c r="Q89" s="244">
        <f>VLOOKUP(A89,[3]Progress!$A$4:$AO$249,38,0)</f>
        <v>106.72736999999999</v>
      </c>
      <c r="T89" s="2"/>
    </row>
    <row r="90" spans="1:20" ht="45" hidden="1">
      <c r="A90" s="5" t="s">
        <v>1665</v>
      </c>
      <c r="B90" s="243">
        <f>VLOOKUP(A90,[3]Progress!$A$4:$AO$249,2,0)</f>
        <v>30572130031</v>
      </c>
      <c r="C90" s="244">
        <f>VLOOKUP(A90,[3]Progress!$A$4:$AO$249,3,0)</f>
        <v>1317461003</v>
      </c>
      <c r="D90" s="2" t="str">
        <f t="shared" si="1"/>
        <v>JAW-BT-CPT-0473</v>
      </c>
      <c r="E90" s="244" t="str">
        <f>VLOOKUP(A90,[3]Progress!$A$4:$AO$249,5,0)</f>
        <v>Djuna Raya Pakujaya</v>
      </c>
      <c r="F90" s="244">
        <f>VLOOKUP(A90,[3]Progress!$A$4:$AP$249,31,0)</f>
        <v>0</v>
      </c>
      <c r="G90" s="244">
        <f>VLOOKUP(A90,[3]Progress!$A$4:$AP$249,32,0)</f>
        <v>0</v>
      </c>
      <c r="H90" s="244" t="str">
        <f>VLOOKUP(A90,[3]Progress!$A$4:$AP$249,11,0)</f>
        <v>XL</v>
      </c>
      <c r="I90" s="244" t="s">
        <v>4</v>
      </c>
      <c r="J90" s="244" t="s">
        <v>11</v>
      </c>
      <c r="K90" s="244" t="s">
        <v>314</v>
      </c>
      <c r="L90" s="244" t="s">
        <v>29</v>
      </c>
      <c r="M90" s="244">
        <v>-6.2305599999999997</v>
      </c>
      <c r="N90" s="244">
        <v>106.69058</v>
      </c>
      <c r="O90" s="244"/>
      <c r="P90" s="244"/>
      <c r="Q90" s="244">
        <f>VLOOKUP(A90,[3]Progress!$A$4:$AO$249,38,0)</f>
        <v>106.69058</v>
      </c>
      <c r="T90" s="2"/>
    </row>
    <row r="91" spans="1:20" ht="45" hidden="1">
      <c r="A91" s="5" t="s">
        <v>1666</v>
      </c>
      <c r="B91" s="243">
        <f>VLOOKUP(A91,[3]Progress!$A$4:$AO$249,2,0)</f>
        <v>30572400031</v>
      </c>
      <c r="C91" s="244">
        <f>VLOOKUP(A91,[3]Progress!$A$4:$AO$249,3,0)</f>
        <v>1260961003</v>
      </c>
      <c r="D91" s="940" t="str">
        <f t="shared" si="1"/>
        <v>JAW-JB-CBI-0084</v>
      </c>
      <c r="E91" s="244" t="str">
        <f>VLOOKUP(A91,[3]Progress!$A$4:$AO$249,5,0)</f>
        <v>Sabililah Citeureup</v>
      </c>
      <c r="F91" s="244">
        <f>VLOOKUP(A91,[3]Progress!$A$4:$AP$249,31,0)</f>
        <v>0</v>
      </c>
      <c r="G91" s="244">
        <f>VLOOKUP(A91,[3]Progress!$A$4:$AP$249,32,0)</f>
        <v>0</v>
      </c>
      <c r="H91" s="244" t="str">
        <f>VLOOKUP(A91,[3]Progress!$A$4:$AP$249,11,0)</f>
        <v>XL</v>
      </c>
      <c r="I91" s="244" t="s">
        <v>4</v>
      </c>
      <c r="J91" s="244" t="s">
        <v>11</v>
      </c>
      <c r="K91" s="244" t="s">
        <v>178</v>
      </c>
      <c r="L91" s="244" t="s">
        <v>26</v>
      </c>
      <c r="M91" s="244" t="s">
        <v>2028</v>
      </c>
      <c r="N91" s="244" t="s">
        <v>2029</v>
      </c>
      <c r="O91" s="244" t="s">
        <v>1624</v>
      </c>
      <c r="P91" s="244" t="s">
        <v>1442</v>
      </c>
      <c r="Q91" s="244" t="str">
        <f>VLOOKUP(A91,[3]Progress!$A$4:$AO$249,38,0)</f>
        <v>106.89312</v>
      </c>
      <c r="R91" s="940" t="s">
        <v>1624</v>
      </c>
      <c r="S91" s="940" t="s">
        <v>1442</v>
      </c>
      <c r="T91" s="2"/>
    </row>
    <row r="92" spans="1:20" ht="45" hidden="1">
      <c r="A92" s="5" t="s">
        <v>1667</v>
      </c>
      <c r="B92" s="243">
        <f>VLOOKUP(A92,[3]Progress!$A$4:$AO$249,2,0)</f>
        <v>30572090031</v>
      </c>
      <c r="C92" s="244">
        <f>VLOOKUP(A92,[3]Progress!$A$4:$AO$249,3,0)</f>
        <v>1260901003</v>
      </c>
      <c r="D92" s="2" t="str">
        <f t="shared" si="1"/>
        <v>JAW-JB-CBI-0085</v>
      </c>
      <c r="E92" s="244" t="str">
        <f>VLOOKUP(A92,[3]Progress!$A$4:$AO$249,5,0)</f>
        <v>Cilliwung Pondok Rajeg</v>
      </c>
      <c r="F92" s="244">
        <f>VLOOKUP(A92,[3]Progress!$A$4:$AP$249,31,0)</f>
        <v>0</v>
      </c>
      <c r="G92" s="244">
        <f>VLOOKUP(A92,[3]Progress!$A$4:$AP$249,32,0)</f>
        <v>0</v>
      </c>
      <c r="H92" s="244" t="str">
        <f>VLOOKUP(A92,[3]Progress!$A$4:$AP$249,11,0)</f>
        <v>XL</v>
      </c>
      <c r="I92" s="244" t="s">
        <v>4</v>
      </c>
      <c r="J92" s="244" t="s">
        <v>11</v>
      </c>
      <c r="K92" s="244" t="s">
        <v>179</v>
      </c>
      <c r="L92" s="244" t="s">
        <v>26</v>
      </c>
      <c r="M92" s="244" t="s">
        <v>2030</v>
      </c>
      <c r="N92" s="244" t="s">
        <v>2031</v>
      </c>
      <c r="O92" s="244" t="s">
        <v>1624</v>
      </c>
      <c r="P92" s="244" t="s">
        <v>1442</v>
      </c>
      <c r="Q92" s="244" t="str">
        <f>VLOOKUP(A92,[3]Progress!$A$4:$AO$249,38,0)</f>
        <v>106.81956</v>
      </c>
      <c r="R92" s="2" t="s">
        <v>1624</v>
      </c>
      <c r="S92" s="2" t="s">
        <v>1442</v>
      </c>
      <c r="T92" s="2"/>
    </row>
    <row r="93" spans="1:20" ht="45" hidden="1">
      <c r="A93" s="5" t="s">
        <v>1668</v>
      </c>
      <c r="B93" s="243">
        <f>VLOOKUP(A93,[3]Progress!$A$4:$AO$250,2,0)</f>
        <v>30595370031</v>
      </c>
      <c r="C93" s="244">
        <f>VLOOKUP(A93,[3]Progress!$A$4:$AO$250,3,0)</f>
        <v>1262131003</v>
      </c>
      <c r="D93" s="2" t="str">
        <f t="shared" si="1"/>
        <v>JAW-JB-BGR-0213</v>
      </c>
      <c r="E93" s="244" t="str">
        <f>VLOOKUP(A93,[3]Progress!$A$4:$AO$250,5,0)</f>
        <v>CIBEBER BARENGKOK</v>
      </c>
      <c r="F93" s="244">
        <f>VLOOKUP(A93,[3]Progress!$A$4:$AP$250,31,0)</f>
        <v>0</v>
      </c>
      <c r="G93" s="244">
        <f>VLOOKUP(A93,[3]Progress!$A$4:$AP$250,32,0)</f>
        <v>0</v>
      </c>
      <c r="H93" s="244" t="str">
        <f>VLOOKUP(A93,[3]Progress!$A$4:$AP$250,11,0)</f>
        <v>XL</v>
      </c>
      <c r="I93" s="244" t="s">
        <v>4</v>
      </c>
      <c r="J93" s="244" t="s">
        <v>1426</v>
      </c>
      <c r="K93" s="244" t="s">
        <v>316</v>
      </c>
      <c r="L93" s="244" t="s">
        <v>26</v>
      </c>
      <c r="M93" s="244" t="s">
        <v>2032</v>
      </c>
      <c r="N93" s="244" t="s">
        <v>2033</v>
      </c>
      <c r="O93" s="244" t="s">
        <v>1624</v>
      </c>
      <c r="P93" s="244" t="s">
        <v>1442</v>
      </c>
      <c r="Q93" s="244" t="str">
        <f>VLOOKUP(A93,[3]Progress!$A$4:$AO$250,38,0)</f>
        <v>106.64031</v>
      </c>
      <c r="R93" s="2" t="s">
        <v>1624</v>
      </c>
      <c r="S93" s="2" t="s">
        <v>1442</v>
      </c>
      <c r="T93" s="2" t="s">
        <v>168</v>
      </c>
    </row>
    <row r="94" spans="1:20" ht="45" hidden="1">
      <c r="A94" s="5" t="s">
        <v>1669</v>
      </c>
      <c r="B94" s="243">
        <f>VLOOKUP(A94,[3]Progress!$A$4:$AO$249,2,0)</f>
        <v>30572440031</v>
      </c>
      <c r="C94" s="244">
        <f>VLOOKUP(A94,[3]Progress!$A$4:$AO$249,3,0)</f>
        <v>1317631003</v>
      </c>
      <c r="D94" s="2" t="str">
        <f t="shared" si="1"/>
        <v>JAW-BT-CPT-0463</v>
      </c>
      <c r="E94" s="244" t="str">
        <f>VLOOKUP(A94,[3]Progress!$A$4:$AO$249,5,0)</f>
        <v>UNIVERSITAS TERBUKA PAMULANG</v>
      </c>
      <c r="F94" s="244">
        <f>VLOOKUP(A94,[3]Progress!$A$4:$AP$249,31,0)</f>
        <v>0</v>
      </c>
      <c r="G94" s="244">
        <f>VLOOKUP(A94,[3]Progress!$A$4:$AP$249,32,0)</f>
        <v>0</v>
      </c>
      <c r="H94" s="244" t="str">
        <f>VLOOKUP(A94,[3]Progress!$A$4:$AP$249,11,0)</f>
        <v>XL</v>
      </c>
      <c r="I94" s="244" t="s">
        <v>4</v>
      </c>
      <c r="J94" s="244" t="s">
        <v>11</v>
      </c>
      <c r="K94" s="244" t="s">
        <v>178</v>
      </c>
      <c r="L94" s="244" t="s">
        <v>29</v>
      </c>
      <c r="M94" s="244" t="s">
        <v>2034</v>
      </c>
      <c r="N94" s="244" t="s">
        <v>2035</v>
      </c>
      <c r="O94" s="244"/>
      <c r="P94" s="244"/>
      <c r="Q94" s="244" t="str">
        <f>VLOOKUP(A94,[3]Progress!$A$4:$AO$249,38,0)</f>
        <v>106.759917</v>
      </c>
      <c r="T94" s="2"/>
    </row>
    <row r="95" spans="1:20" ht="45" hidden="1">
      <c r="A95" s="5" t="s">
        <v>1670</v>
      </c>
      <c r="B95" s="243">
        <f>VLOOKUP(A95,[3]Progress!$A$4:$AO$249,2,0)</f>
        <v>30573470031</v>
      </c>
      <c r="C95" s="244">
        <f>VLOOKUP(A95,[3]Progress!$A$4:$AO$249,3,0)</f>
        <v>1317851003</v>
      </c>
      <c r="D95" s="2" t="str">
        <f t="shared" si="1"/>
        <v>JAW-BT-TGR-0041</v>
      </c>
      <c r="E95" s="244" t="str">
        <f>VLOOKUP(A95,[3]Progress!$A$4:$AO$249,5,0)</f>
        <v>BELIMBING KOSAMBI</v>
      </c>
      <c r="F95" s="244">
        <f>VLOOKUP(A95,[3]Progress!$A$4:$AP$249,31,0)</f>
        <v>0</v>
      </c>
      <c r="G95" s="244">
        <f>VLOOKUP(A95,[3]Progress!$A$4:$AP$249,32,0)</f>
        <v>0</v>
      </c>
      <c r="H95" s="244" t="str">
        <f>VLOOKUP(A95,[3]Progress!$A$4:$AP$249,11,0)</f>
        <v>XL</v>
      </c>
      <c r="I95" s="244" t="s">
        <v>4</v>
      </c>
      <c r="J95" s="244" t="s">
        <v>11</v>
      </c>
      <c r="K95" s="244" t="s">
        <v>179</v>
      </c>
      <c r="L95" s="244" t="s">
        <v>19</v>
      </c>
      <c r="M95" s="244">
        <v>-6.0828800000000003</v>
      </c>
      <c r="N95" s="244">
        <v>106.67674</v>
      </c>
      <c r="O95" s="244" t="s">
        <v>1441</v>
      </c>
      <c r="P95" s="244" t="s">
        <v>1577</v>
      </c>
      <c r="Q95" s="244">
        <f>VLOOKUP(A95,[3]Progress!$A$4:$AO$249,38,0)</f>
        <v>106.67674</v>
      </c>
      <c r="R95" s="2" t="s">
        <v>1441</v>
      </c>
      <c r="S95" s="2" t="s">
        <v>1577</v>
      </c>
      <c r="T95" s="2" t="s">
        <v>1671</v>
      </c>
    </row>
    <row r="96" spans="1:20" ht="45" hidden="1">
      <c r="A96" s="5" t="s">
        <v>1672</v>
      </c>
      <c r="B96" s="243">
        <f>VLOOKUP(A96,[3]Progress!$A$4:$AO$249,2,0)</f>
        <v>30572460031</v>
      </c>
      <c r="C96" s="244">
        <f>VLOOKUP(A96,[3]Progress!$A$4:$AO$249,3,0)</f>
        <v>1317651003</v>
      </c>
      <c r="D96" s="2" t="str">
        <f t="shared" ref="D96:D124" si="2">A96</f>
        <v>JAW-BT-CPT-0465</v>
      </c>
      <c r="E96" s="244" t="str">
        <f>VLOOKUP(A96,[3]Progress!$A$4:$AO$249,5,0)</f>
        <v>BERANDA SERPONG</v>
      </c>
      <c r="F96" s="244">
        <f>VLOOKUP(A96,[3]Progress!$A$4:$AP$249,31,0)</f>
        <v>0</v>
      </c>
      <c r="G96" s="244">
        <f>VLOOKUP(A96,[3]Progress!$A$4:$AP$249,32,0)</f>
        <v>0</v>
      </c>
      <c r="H96" s="244" t="str">
        <f>VLOOKUP(A96,[3]Progress!$A$4:$AP$249,11,0)</f>
        <v>XL</v>
      </c>
      <c r="I96" s="244" t="s">
        <v>4</v>
      </c>
      <c r="J96" s="244" t="s">
        <v>11</v>
      </c>
      <c r="K96" s="244" t="s">
        <v>179</v>
      </c>
      <c r="L96" s="244" t="s">
        <v>29</v>
      </c>
      <c r="M96" s="244" t="s">
        <v>2036</v>
      </c>
      <c r="N96" s="244" t="s">
        <v>2037</v>
      </c>
      <c r="O96" s="244"/>
      <c r="P96" s="244"/>
      <c r="Q96" s="244" t="str">
        <f>VLOOKUP(A96,[3]Progress!$A$4:$AO$249,38,0)</f>
        <v>106.70642</v>
      </c>
      <c r="T96" s="2"/>
    </row>
    <row r="97" spans="1:20" ht="45" hidden="1">
      <c r="A97" s="5" t="s">
        <v>1673</v>
      </c>
      <c r="B97" s="243">
        <f>VLOOKUP(A97,[3]Progress!$A$4:$AO$249,2,0)</f>
        <v>30572320031</v>
      </c>
      <c r="C97" s="244">
        <f>VLOOKUP(A97,[3]Progress!$A$4:$AO$249,3,0)</f>
        <v>1317581003</v>
      </c>
      <c r="D97" s="2" t="str">
        <f t="shared" si="2"/>
        <v>JAW-BT-TGR-0028</v>
      </c>
      <c r="E97" s="244" t="str">
        <f>VLOOKUP(A97,[3]Progress!$A$4:$AO$249,5,0)</f>
        <v>Jalan Raya Korelet</v>
      </c>
      <c r="F97" s="244">
        <f>VLOOKUP(A97,[3]Progress!$A$4:$AP$249,31,0)</f>
        <v>0</v>
      </c>
      <c r="G97" s="244">
        <f>VLOOKUP(A97,[3]Progress!$A$4:$AP$249,32,0)</f>
        <v>0</v>
      </c>
      <c r="H97" s="244" t="str">
        <f>VLOOKUP(A97,[3]Progress!$A$4:$AP$249,11,0)</f>
        <v>XL</v>
      </c>
      <c r="I97" s="244" t="s">
        <v>4</v>
      </c>
      <c r="J97" s="244" t="s">
        <v>11</v>
      </c>
      <c r="K97" s="244" t="s">
        <v>178</v>
      </c>
      <c r="L97" s="244" t="s">
        <v>19</v>
      </c>
      <c r="M97" s="244">
        <v>-6.2892099999999997</v>
      </c>
      <c r="N97" s="244">
        <v>106.5386</v>
      </c>
      <c r="O97" s="244"/>
      <c r="P97" s="244"/>
      <c r="Q97" s="244">
        <f>VLOOKUP(A97,[3]Progress!$A$4:$AO$249,38,0)</f>
        <v>106.5386</v>
      </c>
      <c r="T97" s="2"/>
    </row>
    <row r="98" spans="1:20" ht="45" hidden="1">
      <c r="A98" s="5" t="s">
        <v>1674</v>
      </c>
      <c r="B98" s="243">
        <f>VLOOKUP(A98,[3]Progress!$A$4:$AO$249,2,0)</f>
        <v>30572120031</v>
      </c>
      <c r="C98" s="244">
        <f>VLOOKUP(A98,[3]Progress!$A$4:$AO$249,3,0)</f>
        <v>1317451003</v>
      </c>
      <c r="D98" s="2" t="str">
        <f t="shared" si="2"/>
        <v>JAW-BT-TNG-1470</v>
      </c>
      <c r="E98" s="244" t="str">
        <f>VLOOKUP(A98,[3]Progress!$A$4:$AO$249,5,0)</f>
        <v>Mawi Kunciran Indah</v>
      </c>
      <c r="F98" s="244">
        <f>VLOOKUP(A98,[3]Progress!$A$4:$AP$249,31,0)</f>
        <v>0</v>
      </c>
      <c r="G98" s="244">
        <f>VLOOKUP(A98,[3]Progress!$A$4:$AP$249,32,0)</f>
        <v>0</v>
      </c>
      <c r="H98" s="244" t="str">
        <f>VLOOKUP(A98,[3]Progress!$A$4:$AP$249,11,0)</f>
        <v>XL</v>
      </c>
      <c r="I98" s="244" t="s">
        <v>4</v>
      </c>
      <c r="J98" s="244" t="s">
        <v>5</v>
      </c>
      <c r="K98" s="244" t="s">
        <v>314</v>
      </c>
      <c r="L98" s="244" t="s">
        <v>21</v>
      </c>
      <c r="M98" s="244">
        <v>-6.2284059999999997</v>
      </c>
      <c r="N98" s="244">
        <v>106.68171700000001</v>
      </c>
      <c r="O98" s="244"/>
      <c r="P98" s="244"/>
      <c r="Q98" s="244">
        <f>VLOOKUP(A98,[3]Progress!$A$4:$AO$249,38,0)</f>
        <v>106.68171700000001</v>
      </c>
      <c r="T98" s="2"/>
    </row>
    <row r="99" spans="1:20" ht="45" hidden="1">
      <c r="A99" s="5" t="s">
        <v>1675</v>
      </c>
      <c r="B99" s="243">
        <f>VLOOKUP(A99,[3]Progress!$A$4:$AO$249,2,0)</f>
        <v>30573400031</v>
      </c>
      <c r="C99" s="244">
        <f>VLOOKUP(A99,[3]Progress!$A$4:$AO$249,3,0)</f>
        <v>1127901003</v>
      </c>
      <c r="D99" s="2" t="str">
        <f t="shared" si="2"/>
        <v>JAW-JK-KYB-0103</v>
      </c>
      <c r="E99" s="244" t="str">
        <f>VLOOKUP(A99,[3]Progress!$A$4:$AO$249,5,0)</f>
        <v>Benda Ciganjur</v>
      </c>
      <c r="F99" s="244">
        <f>VLOOKUP(A99,[3]Progress!$A$4:$AP$249,31,0)</f>
        <v>0</v>
      </c>
      <c r="G99" s="244">
        <f>VLOOKUP(A99,[3]Progress!$A$4:$AP$249,32,0)</f>
        <v>0</v>
      </c>
      <c r="H99" s="244" t="str">
        <f>VLOOKUP(A99,[3]Progress!$A$4:$AP$249,11,0)</f>
        <v>XL</v>
      </c>
      <c r="I99" s="244" t="s">
        <v>4</v>
      </c>
      <c r="J99" s="244" t="s">
        <v>5</v>
      </c>
      <c r="K99" s="244" t="s">
        <v>178</v>
      </c>
      <c r="L99" s="244" t="s">
        <v>1079</v>
      </c>
      <c r="M99" s="244">
        <v>-6.3256699999999997</v>
      </c>
      <c r="N99" s="244">
        <v>106.8061</v>
      </c>
      <c r="O99" s="244"/>
      <c r="P99" s="244"/>
      <c r="Q99" s="244">
        <f>VLOOKUP(A99,[3]Progress!$A$4:$AO$249,38,0)</f>
        <v>106.8061</v>
      </c>
      <c r="T99" s="2"/>
    </row>
    <row r="100" spans="1:20" ht="45" hidden="1">
      <c r="A100" s="5" t="s">
        <v>1676</v>
      </c>
      <c r="B100" s="243">
        <f>VLOOKUP(A100,[3]Progress!$A$4:$AO$249,2,0)</f>
        <v>30571990031</v>
      </c>
      <c r="C100" s="244">
        <f>VLOOKUP(A100,[3]Progress!$A$4:$AO$249,3,0)</f>
        <v>1317381003</v>
      </c>
      <c r="D100" s="2" t="str">
        <f t="shared" si="2"/>
        <v>JAW-BT-TNG-1450</v>
      </c>
      <c r="E100" s="244" t="str">
        <f>VLOOKUP(A100,[3]Progress!$A$4:$AO$249,5,0)</f>
        <v>Kedaung Baru Tangerang</v>
      </c>
      <c r="F100" s="244">
        <f>VLOOKUP(A100,[3]Progress!$A$4:$AP$249,31,0)</f>
        <v>0</v>
      </c>
      <c r="G100" s="244">
        <f>VLOOKUP(A100,[3]Progress!$A$4:$AP$249,32,0)</f>
        <v>0</v>
      </c>
      <c r="H100" s="244" t="str">
        <f>VLOOKUP(A100,[3]Progress!$A$4:$AP$249,11,0)</f>
        <v>XL</v>
      </c>
      <c r="I100" s="244" t="s">
        <v>4</v>
      </c>
      <c r="J100" s="244" t="s">
        <v>5</v>
      </c>
      <c r="K100" s="244" t="s">
        <v>178</v>
      </c>
      <c r="L100" s="244" t="s">
        <v>21</v>
      </c>
      <c r="M100" s="244" t="s">
        <v>2038</v>
      </c>
      <c r="N100" s="244" t="s">
        <v>2039</v>
      </c>
      <c r="O100" s="244" t="s">
        <v>1677</v>
      </c>
      <c r="P100" s="244" t="s">
        <v>1442</v>
      </c>
      <c r="Q100" s="244" t="str">
        <f>VLOOKUP(A100,[3]Progress!$A$4:$AO$249,38,0)</f>
        <v>106.61312</v>
      </c>
      <c r="R100" s="2" t="s">
        <v>1677</v>
      </c>
      <c r="S100" s="2" t="s">
        <v>1442</v>
      </c>
      <c r="T100" s="2"/>
    </row>
    <row r="101" spans="1:20" ht="45" hidden="1">
      <c r="A101" s="5" t="s">
        <v>1678</v>
      </c>
      <c r="B101" s="243">
        <f>VLOOKUP(A101,[3]Progress!$A$4:$AO$251,2,0)</f>
        <v>30595380031</v>
      </c>
      <c r="C101" s="244" t="str">
        <f>VLOOKUP(A101,[3]Progress!$A$4:$AO$251,3,0)</f>
        <v>1262141003</v>
      </c>
      <c r="D101" s="5" t="str">
        <f t="shared" si="2"/>
        <v>JAW-JB-BGR-0214</v>
      </c>
      <c r="E101" s="244" t="str">
        <f>VLOOKUP(A101,[3]Progress!$A$4:$AO$251,5,0)</f>
        <v>MEKARWANGI BOGOR</v>
      </c>
      <c r="F101" s="244">
        <f>VLOOKUP(A101,[3]Progress!$A$4:$AP$251,31,0)</f>
        <v>0</v>
      </c>
      <c r="G101" s="244">
        <f>VLOOKUP(A101,[3]Progress!$A$4:$AP$251,32,0)</f>
        <v>0</v>
      </c>
      <c r="H101" s="244" t="str">
        <f>VLOOKUP(A101,[3]Progress!$A$4:$AP$251,11,0)</f>
        <v>XL</v>
      </c>
      <c r="I101" s="244" t="s">
        <v>4</v>
      </c>
      <c r="J101" s="244" t="s">
        <v>1426</v>
      </c>
      <c r="K101" s="244" t="s">
        <v>316</v>
      </c>
      <c r="L101" s="244" t="s">
        <v>26</v>
      </c>
      <c r="M101" s="244">
        <v>-6.5209999999999999</v>
      </c>
      <c r="N101" s="244">
        <v>107.11857999999999</v>
      </c>
      <c r="O101" s="244" t="s">
        <v>1494</v>
      </c>
      <c r="P101" s="244" t="s">
        <v>1442</v>
      </c>
      <c r="Q101" s="244">
        <f>VLOOKUP(A101,[3]Progress!$A$4:$AO$251,38,0)</f>
        <v>107.11857999999999</v>
      </c>
      <c r="R101" s="2" t="s">
        <v>1494</v>
      </c>
      <c r="S101" s="2" t="s">
        <v>1442</v>
      </c>
      <c r="T101" s="2"/>
    </row>
    <row r="102" spans="1:20" ht="45" hidden="1">
      <c r="A102" s="5" t="s">
        <v>1679</v>
      </c>
      <c r="B102" s="243">
        <f>VLOOKUP(A102,[3]Progress!$A$4:$AO$256,2,0)</f>
        <v>30595400031</v>
      </c>
      <c r="C102" s="244" t="str">
        <f>VLOOKUP(A102,[3]Progress!$A$4:$AO$256,3,0)</f>
        <v>1262161003</v>
      </c>
      <c r="D102" s="5" t="str">
        <f t="shared" si="2"/>
        <v>JAW-JB-BGR-0220</v>
      </c>
      <c r="E102" s="244" t="str">
        <f>VLOOKUP(A102,[3]Progress!$A$4:$AO$256,5,0)</f>
        <v>PARUNG PANJANG BOGOR</v>
      </c>
      <c r="F102" s="244">
        <f>VLOOKUP(A102,[3]Progress!$A$4:$AP$256,31,0)</f>
        <v>0</v>
      </c>
      <c r="G102" s="244">
        <f>VLOOKUP(A102,[3]Progress!$A$4:$AP$256,32,0)</f>
        <v>0</v>
      </c>
      <c r="H102" s="244" t="str">
        <f>VLOOKUP(A102,[3]Progress!$A$4:$AP$256,11,0)</f>
        <v>XL</v>
      </c>
      <c r="I102" s="244" t="s">
        <v>4</v>
      </c>
      <c r="J102" s="244" t="s">
        <v>1426</v>
      </c>
      <c r="K102" s="244" t="s">
        <v>179</v>
      </c>
      <c r="L102" s="244" t="s">
        <v>26</v>
      </c>
      <c r="M102" s="244" t="s">
        <v>2040</v>
      </c>
      <c r="N102" s="244" t="s">
        <v>2041</v>
      </c>
      <c r="O102" s="244"/>
      <c r="P102" s="244"/>
      <c r="Q102" s="244" t="str">
        <f>VLOOKUP(A102,[3]Progress!$A$4:$AO$256,38,0)</f>
        <v>106.58765</v>
      </c>
      <c r="T102" s="2"/>
    </row>
    <row r="103" spans="1:20" ht="45" hidden="1">
      <c r="A103" s="5" t="s">
        <v>1680</v>
      </c>
      <c r="B103" s="243">
        <f>VLOOKUP(A103,[3]Progress!$A$4:$AO$256,2,0)</f>
        <v>30572490031</v>
      </c>
      <c r="C103" s="244">
        <f>VLOOKUP(A103,[3]Progress!$A$4:$AO$256,3,0)</f>
        <v>1317681003</v>
      </c>
      <c r="D103" s="5" t="str">
        <f t="shared" si="2"/>
        <v>JAW-BT-CPT-0469</v>
      </c>
      <c r="E103" s="244" t="str">
        <f>VLOOKUP(A103,[3]Progress!$A$4:$AO$256,5,0)</f>
        <v>DISCOVERY CONSERVA</v>
      </c>
      <c r="F103" s="244">
        <f>VLOOKUP(A103,[3]Progress!$A$4:$AP$256,31,0)</f>
        <v>0</v>
      </c>
      <c r="G103" s="244">
        <f>VLOOKUP(A103,[3]Progress!$A$4:$AP$256,32,0)</f>
        <v>0</v>
      </c>
      <c r="H103" s="244" t="str">
        <f>VLOOKUP(A103,[3]Progress!$A$4:$AP$256,11,0)</f>
        <v>XL</v>
      </c>
      <c r="I103" s="244" t="s">
        <v>4</v>
      </c>
      <c r="J103" s="244" t="s">
        <v>11</v>
      </c>
      <c r="K103" s="244" t="s">
        <v>178</v>
      </c>
      <c r="L103" s="244" t="s">
        <v>29</v>
      </c>
      <c r="M103" s="244">
        <v>-6.2610900000000003</v>
      </c>
      <c r="N103" s="244">
        <v>106.69712</v>
      </c>
      <c r="O103" s="244"/>
      <c r="P103" s="244"/>
      <c r="Q103" s="244">
        <f>VLOOKUP(A103,[3]Progress!$A$4:$AO$256,38,0)</f>
        <v>106.69712</v>
      </c>
      <c r="T103" s="2"/>
    </row>
    <row r="104" spans="1:20" ht="45" hidden="1">
      <c r="A104" s="5" t="s">
        <v>1681</v>
      </c>
      <c r="B104" s="243">
        <f>VLOOKUP(A104,[3]Progress!$A$4:$AO$256,2,0)</f>
        <v>30595420031</v>
      </c>
      <c r="C104" s="244">
        <f>VLOOKUP(A104,[3]Progress!$A$4:$AO$256,3,0)</f>
        <v>1262181003</v>
      </c>
      <c r="D104" s="247" t="str">
        <f t="shared" si="2"/>
        <v>JAW-JB-BGR-0223</v>
      </c>
      <c r="E104" s="244" t="str">
        <f>VLOOKUP(A104,[3]Progress!$A$4:$AO$256,5,0)</f>
        <v>JALAN RAYA CARIU JONGGOL</v>
      </c>
      <c r="F104" s="244">
        <f>VLOOKUP(A104,[3]Progress!$A$4:$AP$256,31,0)</f>
        <v>0</v>
      </c>
      <c r="G104" s="244">
        <f>VLOOKUP(A104,[3]Progress!$A$4:$AP$256,32,0)</f>
        <v>0</v>
      </c>
      <c r="H104" s="244" t="str">
        <f>VLOOKUP(A104,[3]Progress!$A$4:$AP$256,11,0)</f>
        <v>XL</v>
      </c>
      <c r="I104" s="244" t="s">
        <v>4</v>
      </c>
      <c r="J104" s="244" t="s">
        <v>1426</v>
      </c>
      <c r="K104" s="244" t="s">
        <v>316</v>
      </c>
      <c r="L104" s="244" t="s">
        <v>26</v>
      </c>
      <c r="M104" s="244">
        <v>-6.4860699999999998</v>
      </c>
      <c r="N104" s="244">
        <v>107.10965</v>
      </c>
      <c r="O104" s="244" t="s">
        <v>1494</v>
      </c>
      <c r="P104" s="244" t="s">
        <v>1442</v>
      </c>
      <c r="Q104" s="244">
        <f>VLOOKUP(A104,[3]Progress!$A$4:$AO$256,38,0)</f>
        <v>107.10965</v>
      </c>
      <c r="R104" s="222" t="s">
        <v>1494</v>
      </c>
      <c r="S104" s="222" t="s">
        <v>1442</v>
      </c>
      <c r="T104" s="2"/>
    </row>
    <row r="105" spans="1:20" ht="45" hidden="1">
      <c r="A105" s="5" t="s">
        <v>1682</v>
      </c>
      <c r="B105" s="243">
        <f>VLOOKUP(A105,[3]Progress!$A$4:$AO$256,2,0)</f>
        <v>30571820031</v>
      </c>
      <c r="C105" s="244">
        <f>VLOOKUP(A105,[3]Progress!$A$4:$AO$256,3,0)</f>
        <v>1317351003</v>
      </c>
      <c r="D105" s="5" t="str">
        <f t="shared" si="2"/>
        <v>JAW-BT-TNG-1492</v>
      </c>
      <c r="E105" s="244" t="str">
        <f>VLOOKUP(A105,[3]Progress!$A$4:$AO$256,5,0)</f>
        <v>Karang Timur Tangerang</v>
      </c>
      <c r="F105" s="244">
        <f>VLOOKUP(A105,[3]Progress!$A$4:$AP$256,31,0)</f>
        <v>0</v>
      </c>
      <c r="G105" s="244">
        <f>VLOOKUP(A105,[3]Progress!$A$4:$AP$256,32,0)</f>
        <v>0</v>
      </c>
      <c r="H105" s="244" t="str">
        <f>VLOOKUP(A105,[3]Progress!$A$4:$AP$256,11,0)</f>
        <v>XL</v>
      </c>
      <c r="I105" s="244" t="s">
        <v>4</v>
      </c>
      <c r="J105" s="244" t="s">
        <v>5</v>
      </c>
      <c r="K105" s="244" t="s">
        <v>323</v>
      </c>
      <c r="L105" s="244" t="s">
        <v>21</v>
      </c>
      <c r="M105" s="244">
        <v>-6.2211499999999997</v>
      </c>
      <c r="N105" s="244">
        <v>106.71563999999999</v>
      </c>
      <c r="O105" s="244"/>
      <c r="P105" s="244"/>
      <c r="Q105" s="244">
        <f>VLOOKUP(A105,[3]Progress!$A$4:$AO$256,38,0)</f>
        <v>106.71563999999999</v>
      </c>
      <c r="T105" s="2"/>
    </row>
    <row r="106" spans="1:20" ht="45" hidden="1">
      <c r="A106" s="5" t="s">
        <v>1683</v>
      </c>
      <c r="B106" s="243">
        <f>VLOOKUP(A106,[3]Progress!$A$4:$AO$256,2,0)</f>
        <v>30572480031</v>
      </c>
      <c r="C106" s="244">
        <f>VLOOKUP(A106,[3]Progress!$A$4:$AO$256,3,0)</f>
        <v>1317671003</v>
      </c>
      <c r="D106" s="5" t="str">
        <f t="shared" si="2"/>
        <v>JAW-BT-CPT-0468</v>
      </c>
      <c r="E106" s="244" t="str">
        <f>VLOOKUP(A106,[3]Progress!$A$4:$AO$256,5,0)</f>
        <v>GN RAYA CIREUNDEU</v>
      </c>
      <c r="F106" s="244">
        <f>VLOOKUP(A106,[3]Progress!$A$4:$AP$256,31,0)</f>
        <v>0</v>
      </c>
      <c r="G106" s="244">
        <f>VLOOKUP(A106,[3]Progress!$A$4:$AP$256,32,0)</f>
        <v>0</v>
      </c>
      <c r="H106" s="244" t="str">
        <f>VLOOKUP(A106,[3]Progress!$A$4:$AP$256,11,0)</f>
        <v>XL</v>
      </c>
      <c r="I106" s="244" t="s">
        <v>1118</v>
      </c>
      <c r="J106" s="244" t="s">
        <v>11</v>
      </c>
      <c r="K106" s="244" t="s">
        <v>316</v>
      </c>
      <c r="L106" s="244" t="s">
        <v>29</v>
      </c>
      <c r="M106" s="244" t="s">
        <v>2042</v>
      </c>
      <c r="N106" s="244">
        <v>106.76482900000001</v>
      </c>
      <c r="O106" s="244"/>
      <c r="P106" s="244"/>
      <c r="Q106" s="244">
        <f>VLOOKUP(A106,[3]Progress!$A$4:$AO$256,38,0)</f>
        <v>106.76482900000001</v>
      </c>
      <c r="T106" s="2"/>
    </row>
    <row r="107" spans="1:20" ht="45" hidden="1">
      <c r="A107" s="5" t="s">
        <v>1684</v>
      </c>
      <c r="B107" s="243">
        <f>VLOOKUP(A107,[3]Progress!$A$4:$AO$256,2,0)</f>
        <v>30572470031</v>
      </c>
      <c r="C107" s="244">
        <f>VLOOKUP(A107,[3]Progress!$A$4:$AO$256,3,0)</f>
        <v>1317661003</v>
      </c>
      <c r="D107" s="5" t="str">
        <f t="shared" si="2"/>
        <v>JAW-BT-CPT-0467</v>
      </c>
      <c r="E107" s="244" t="str">
        <f>VLOOKUP(A107,[3]Progress!$A$4:$AO$256,5,0)</f>
        <v>SITU GINTUNG CIREUNDEU</v>
      </c>
      <c r="F107" s="244">
        <f>VLOOKUP(A107,[3]Progress!$A$4:$AP$256,31,0)</f>
        <v>0</v>
      </c>
      <c r="G107" s="244">
        <f>VLOOKUP(A107,[3]Progress!$A$4:$AP$256,32,0)</f>
        <v>0</v>
      </c>
      <c r="H107" s="244" t="str">
        <f>VLOOKUP(A107,[3]Progress!$A$4:$AP$256,11,0)</f>
        <v>XL</v>
      </c>
      <c r="I107" s="244" t="s">
        <v>4</v>
      </c>
      <c r="J107" s="244" t="s">
        <v>11</v>
      </c>
      <c r="K107" s="244" t="s">
        <v>323</v>
      </c>
      <c r="L107" s="244" t="s">
        <v>29</v>
      </c>
      <c r="M107" s="244" t="s">
        <v>2043</v>
      </c>
      <c r="N107" s="244" t="s">
        <v>2044</v>
      </c>
      <c r="O107" s="244"/>
      <c r="P107" s="244"/>
      <c r="Q107" s="244" t="str">
        <f>VLOOKUP(A107,[3]Progress!$A$4:$AO$256,38,0)</f>
        <v>106.76260</v>
      </c>
      <c r="T107" s="2"/>
    </row>
    <row r="108" spans="1:20" ht="45" hidden="1">
      <c r="A108" s="5" t="s">
        <v>1685</v>
      </c>
      <c r="B108" s="243">
        <f>VLOOKUP(A108,[3]Progress!$A$4:$AO$256,2,0)</f>
        <v>30572290031</v>
      </c>
      <c r="C108" s="244">
        <f>VLOOKUP(A108,[3]Progress!$A$4:$AO$256,3,0)</f>
        <v>1127831003</v>
      </c>
      <c r="D108" s="5" t="str">
        <f t="shared" si="2"/>
        <v>JAW-JK-TJP-0622</v>
      </c>
      <c r="E108" s="244" t="str">
        <f>VLOOKUP(A108,[3]Progress!$A$4:$AO$256,5,0)</f>
        <v>Tol Pelabuhan Ancol</v>
      </c>
      <c r="F108" s="244">
        <f>VLOOKUP(A108,[3]Progress!$A$4:$AP$256,31,0)</f>
        <v>0</v>
      </c>
      <c r="G108" s="244">
        <f>VLOOKUP(A108,[3]Progress!$A$4:$AP$256,32,0)</f>
        <v>0</v>
      </c>
      <c r="H108" s="244" t="str">
        <f>VLOOKUP(A108,[3]Progress!$A$4:$AP$256,11,0)</f>
        <v>XL</v>
      </c>
      <c r="I108" s="244" t="s">
        <v>4</v>
      </c>
      <c r="J108" s="244" t="s">
        <v>5</v>
      </c>
      <c r="K108" s="244" t="s">
        <v>323</v>
      </c>
      <c r="L108" s="244" t="s">
        <v>6</v>
      </c>
      <c r="M108" s="244" t="s">
        <v>2045</v>
      </c>
      <c r="N108" s="244" t="s">
        <v>2046</v>
      </c>
      <c r="O108" s="244"/>
      <c r="P108" s="244"/>
      <c r="Q108" s="244" t="str">
        <f>VLOOKUP(A108,[3]Progress!$A$4:$AO$256,38,0)</f>
        <v>106.83448</v>
      </c>
      <c r="T108" s="2"/>
    </row>
    <row r="109" spans="1:20" ht="45" hidden="1">
      <c r="A109" s="5" t="s">
        <v>1686</v>
      </c>
      <c r="B109" s="243" t="str">
        <f>VLOOKUP(A109,[3]Progress!$A$4:$AO$256,2,0)</f>
        <v>0030595430031</v>
      </c>
      <c r="C109" s="244" t="str">
        <f>VLOOKUP(A109,[3]Progress!$A$4:$AO$256,3,0)</f>
        <v xml:space="preserve"> 1262191003</v>
      </c>
      <c r="D109" s="247" t="str">
        <f t="shared" si="2"/>
        <v>JAW-JB-BGR-0224</v>
      </c>
      <c r="E109" s="244" t="str">
        <f>VLOOKUP(A109,[3]Progress!$A$4:$AO$256,5,0)</f>
        <v>CIPINANG RUMPIN BOGOR</v>
      </c>
      <c r="F109" s="244">
        <f>VLOOKUP(A109,[3]Progress!$A$4:$AP$256,31,0)</f>
        <v>0</v>
      </c>
      <c r="G109" s="244">
        <f>VLOOKUP(A109,[3]Progress!$A$4:$AP$256,32,0)</f>
        <v>0</v>
      </c>
      <c r="H109" s="244" t="str">
        <f>VLOOKUP(A109,[3]Progress!$A$4:$AP$256,11,0)</f>
        <v>XL</v>
      </c>
      <c r="I109" s="244" t="s">
        <v>4</v>
      </c>
      <c r="J109" s="244" t="s">
        <v>1426</v>
      </c>
      <c r="K109" s="244" t="s">
        <v>179</v>
      </c>
      <c r="L109" s="244" t="s">
        <v>26</v>
      </c>
      <c r="M109" s="244">
        <v>-6.4400279999999999</v>
      </c>
      <c r="N109" s="244">
        <v>106.617667</v>
      </c>
      <c r="O109" s="244" t="s">
        <v>1494</v>
      </c>
      <c r="P109" s="244" t="s">
        <v>1442</v>
      </c>
      <c r="Q109" s="244">
        <f>VLOOKUP(A109,[3]Progress!$A$4:$AO$256,38,0)</f>
        <v>106.617667</v>
      </c>
      <c r="R109" s="222" t="s">
        <v>1494</v>
      </c>
      <c r="S109" s="222" t="s">
        <v>1442</v>
      </c>
      <c r="T109" s="2"/>
    </row>
    <row r="110" spans="1:20" ht="45" hidden="1">
      <c r="A110" s="5" t="s">
        <v>1687</v>
      </c>
      <c r="B110" s="243">
        <f>VLOOKUP(A110,[3]Progress!$A$4:$AO$256,2,0)</f>
        <v>30571850031</v>
      </c>
      <c r="C110" s="244">
        <f>VLOOKUP(A110,[3]Progress!$A$4:$AO$256,3,0)</f>
        <v>1127671003</v>
      </c>
      <c r="D110" s="5" t="str">
        <f t="shared" si="2"/>
        <v>JAW-JK-CKG-0665</v>
      </c>
      <c r="E110" s="244" t="str">
        <f>VLOOKUP(A110,[3]Progress!$A$4:$AO$256,5,0)</f>
        <v>Krama Yudha Cakung</v>
      </c>
      <c r="F110" s="244">
        <f>VLOOKUP(A110,[3]Progress!$A$4:$AP$256,31,0)</f>
        <v>0</v>
      </c>
      <c r="G110" s="244">
        <f>VLOOKUP(A110,[3]Progress!$A$4:$AP$256,32,0)</f>
        <v>0</v>
      </c>
      <c r="H110" s="244" t="str">
        <f>VLOOKUP(A110,[3]Progress!$A$4:$AP$256,11,0)</f>
        <v>XL</v>
      </c>
      <c r="I110" s="244" t="s">
        <v>4</v>
      </c>
      <c r="J110" s="244" t="s">
        <v>5</v>
      </c>
      <c r="K110" s="244" t="s">
        <v>179</v>
      </c>
      <c r="L110" s="244" t="s">
        <v>35</v>
      </c>
      <c r="M110" s="244" t="s">
        <v>2047</v>
      </c>
      <c r="N110" s="244" t="s">
        <v>2048</v>
      </c>
      <c r="O110" s="244"/>
      <c r="P110" s="244"/>
      <c r="Q110" s="244" t="str">
        <f>VLOOKUP(A110,[3]Progress!$A$4:$AO$256,38,0)</f>
        <v xml:space="preserve">106.92233 </v>
      </c>
      <c r="T110" s="2"/>
    </row>
    <row r="111" spans="1:20" ht="45" hidden="1">
      <c r="A111" s="5" t="s">
        <v>1688</v>
      </c>
      <c r="B111" s="243">
        <f>VLOOKUP(A111,[3]Progress!$A$4:$AO$256,2,0)</f>
        <v>30572570031</v>
      </c>
      <c r="C111" s="244">
        <f>VLOOKUP(A111,[3]Progress!$A$4:$AO$256,3,0)</f>
        <v>1317761003</v>
      </c>
      <c r="D111" s="5" t="str">
        <f t="shared" si="2"/>
        <v>JAW-BT-TNG-1464</v>
      </c>
      <c r="E111" s="244" t="str">
        <f>VLOOKUP(A111,[3]Progress!$A$4:$AO$256,5,0)</f>
        <v>ALAM JAYA JATIUWUNG</v>
      </c>
      <c r="F111" s="244">
        <f>VLOOKUP(A111,[3]Progress!$A$4:$AP$256,31,0)</f>
        <v>0</v>
      </c>
      <c r="G111" s="244">
        <f>VLOOKUP(A111,[3]Progress!$A$4:$AP$256,32,0)</f>
        <v>0</v>
      </c>
      <c r="H111" s="244" t="str">
        <f>VLOOKUP(A111,[3]Progress!$A$4:$AP$256,11,0)</f>
        <v>XL</v>
      </c>
      <c r="I111" s="244" t="s">
        <v>4</v>
      </c>
      <c r="J111" s="244" t="s">
        <v>5</v>
      </c>
      <c r="K111" s="244" t="s">
        <v>179</v>
      </c>
      <c r="L111" s="244" t="s">
        <v>21</v>
      </c>
      <c r="M111" s="244" t="s">
        <v>2049</v>
      </c>
      <c r="N111" s="244" t="s">
        <v>2050</v>
      </c>
      <c r="O111" s="244"/>
      <c r="P111" s="244"/>
      <c r="Q111" s="244" t="str">
        <f>VLOOKUP(A111,[3]Progress!$A$4:$AO$256,38,0)</f>
        <v>106.57746</v>
      </c>
      <c r="T111" s="2"/>
    </row>
    <row r="112" spans="1:20" ht="45" hidden="1">
      <c r="A112" s="5" t="s">
        <v>1689</v>
      </c>
      <c r="B112" s="243">
        <f>VLOOKUP(A112,[3]Progress!$A$4:$AO$256,2,0)</f>
        <v>30571830031</v>
      </c>
      <c r="C112" s="244">
        <f>VLOOKUP(A112,[3]Progress!$A$4:$AO$256,3,0)</f>
        <v>1317361003</v>
      </c>
      <c r="D112" s="5" t="str">
        <f t="shared" si="2"/>
        <v>JAW-BT-TNG-1452</v>
      </c>
      <c r="E112" s="244" t="str">
        <f>VLOOKUP(A112,[3]Progress!$A$4:$AO$256,5,0)</f>
        <v>Pandawa Cibodas</v>
      </c>
      <c r="F112" s="244">
        <f>VLOOKUP(A112,[3]Progress!$A$4:$AP$256,31,0)</f>
        <v>0</v>
      </c>
      <c r="G112" s="244">
        <f>VLOOKUP(A112,[3]Progress!$A$4:$AP$256,32,0)</f>
        <v>0</v>
      </c>
      <c r="H112" s="244" t="str">
        <f>VLOOKUP(A112,[3]Progress!$A$4:$AP$256,11,0)</f>
        <v>XL</v>
      </c>
      <c r="I112" s="244" t="s">
        <v>4</v>
      </c>
      <c r="J112" s="244" t="s">
        <v>5</v>
      </c>
      <c r="K112" s="244" t="s">
        <v>178</v>
      </c>
      <c r="L112" s="244" t="s">
        <v>21</v>
      </c>
      <c r="M112" s="244" t="s">
        <v>2051</v>
      </c>
      <c r="N112" s="244" t="s">
        <v>2052</v>
      </c>
      <c r="O112" s="244"/>
      <c r="P112" s="244"/>
      <c r="Q112" s="244" t="str">
        <f>VLOOKUP(A112,[3]Progress!$A$4:$AO$256,38,0)</f>
        <v>106.605185°</v>
      </c>
      <c r="T112" s="2"/>
    </row>
    <row r="113" spans="1:20" ht="90" hidden="1">
      <c r="A113" s="5"/>
      <c r="B113" s="248">
        <v>30595360031</v>
      </c>
      <c r="C113" s="248">
        <v>1262121003</v>
      </c>
      <c r="D113" s="147" t="s">
        <v>1690</v>
      </c>
      <c r="E113" s="248" t="s">
        <v>1691</v>
      </c>
      <c r="F113" s="248" t="s">
        <v>10</v>
      </c>
      <c r="G113" s="248" t="s">
        <v>100</v>
      </c>
      <c r="H113" s="248" t="s">
        <v>16</v>
      </c>
      <c r="I113" s="248">
        <v>-6.6734</v>
      </c>
      <c r="J113" s="248" t="s">
        <v>1426</v>
      </c>
      <c r="K113" s="248" t="s">
        <v>1692</v>
      </c>
      <c r="L113" s="248" t="s">
        <v>26</v>
      </c>
      <c r="M113" s="248" t="s">
        <v>13</v>
      </c>
      <c r="N113" s="248" t="s">
        <v>977</v>
      </c>
      <c r="O113" s="248" t="s">
        <v>1624</v>
      </c>
      <c r="P113" s="248" t="s">
        <v>1442</v>
      </c>
      <c r="Q113" s="248" t="s">
        <v>977</v>
      </c>
      <c r="R113" s="249" t="s">
        <v>1624</v>
      </c>
      <c r="S113" s="249" t="s">
        <v>1442</v>
      </c>
      <c r="T113" s="2"/>
    </row>
    <row r="114" spans="1:20" ht="45" hidden="1">
      <c r="A114" s="5" t="s">
        <v>1693</v>
      </c>
      <c r="B114" s="243">
        <f>VLOOKUP(A114,[3]Progress!$A$4:$AO$256,2,0)</f>
        <v>30572580031</v>
      </c>
      <c r="C114" s="244">
        <f>VLOOKUP(A114,[3]Progress!$A$4:$AO$256,3,0)</f>
        <v>1317771003</v>
      </c>
      <c r="D114" s="5" t="str">
        <f t="shared" si="2"/>
        <v>JAW-BT-TNG-1465</v>
      </c>
      <c r="E114" s="244" t="str">
        <f>VLOOKUP(A114,[3]Progress!$A$4:$AO$256,5,0)</f>
        <v>PASIR JAYA JATIUWUNG</v>
      </c>
      <c r="F114" s="244">
        <f>VLOOKUP(A114,[3]Progress!$A$4:$AP$256,31,0)</f>
        <v>0</v>
      </c>
      <c r="G114" s="244">
        <f>VLOOKUP(A114,[3]Progress!$A$4:$AP$256,32,0)</f>
        <v>0</v>
      </c>
      <c r="H114" s="244" t="str">
        <f>VLOOKUP(A114,[3]Progress!$A$4:$AP$256,11,0)</f>
        <v>XL</v>
      </c>
      <c r="I114" s="244" t="s">
        <v>4</v>
      </c>
      <c r="J114" s="244" t="s">
        <v>5</v>
      </c>
      <c r="K114" s="244" t="s">
        <v>323</v>
      </c>
      <c r="L114" s="244" t="s">
        <v>21</v>
      </c>
      <c r="M114" s="244" t="s">
        <v>2053</v>
      </c>
      <c r="N114" s="244" t="s">
        <v>2054</v>
      </c>
      <c r="O114" s="244" t="s">
        <v>1694</v>
      </c>
      <c r="P114" s="244" t="s">
        <v>1577</v>
      </c>
      <c r="Q114" s="244" t="str">
        <f>VLOOKUP(A114,[3]Progress!$A$4:$AO$256,38,0)</f>
        <v>106.56358</v>
      </c>
      <c r="R114" s="2" t="s">
        <v>1694</v>
      </c>
      <c r="S114" s="2" t="s">
        <v>1577</v>
      </c>
      <c r="T114" s="2"/>
    </row>
    <row r="115" spans="1:20" ht="24.75" hidden="1" customHeight="1">
      <c r="A115" s="5" t="s">
        <v>1695</v>
      </c>
      <c r="B115" s="243">
        <f>VLOOKUP(A115,[3]Progress!$A$4:$AO$256,2,0)</f>
        <v>0</v>
      </c>
      <c r="C115" s="244">
        <f>VLOOKUP(A115,[3]Progress!$A$4:$AO$256,3,0)</f>
        <v>0</v>
      </c>
      <c r="D115" s="5" t="str">
        <f t="shared" si="2"/>
        <v>SRG261</v>
      </c>
      <c r="E115" s="244" t="str">
        <f>VLOOKUP(A115,[3]Progress!$A$4:$AO$256,5,0)</f>
        <v>SITUTERATECIKANDE</v>
      </c>
      <c r="F115" s="244">
        <f>VLOOKUP(A115,[3]Progress!$A$4:$AP$256,31,0)</f>
        <v>0</v>
      </c>
      <c r="G115" s="244">
        <f>VLOOKUP(A115,[3]Progress!$A$4:$AP$256,32,0)</f>
        <v>0</v>
      </c>
      <c r="H115" s="244" t="str">
        <f>VLOOKUP(A115,[3]Progress!$A$4:$AP$256,11,0)</f>
        <v>TSEL</v>
      </c>
      <c r="I115" s="244" t="s">
        <v>4</v>
      </c>
      <c r="J115" s="244" t="s">
        <v>1426</v>
      </c>
      <c r="K115" s="244" t="s">
        <v>1975</v>
      </c>
      <c r="L115" s="244" t="s">
        <v>1344</v>
      </c>
      <c r="M115" s="244">
        <v>-6.2082199999999998</v>
      </c>
      <c r="N115" s="244">
        <v>106.34232</v>
      </c>
      <c r="O115" s="244" t="s">
        <v>1624</v>
      </c>
      <c r="P115" s="244" t="s">
        <v>1442</v>
      </c>
      <c r="Q115" s="244">
        <f>VLOOKUP(A115,[3]Progress!$A$4:$AO$256,38,0)</f>
        <v>106.34232</v>
      </c>
      <c r="R115" s="2" t="s">
        <v>1624</v>
      </c>
      <c r="S115" s="2" t="s">
        <v>1442</v>
      </c>
      <c r="T115" s="2"/>
    </row>
    <row r="116" spans="1:20" ht="45" hidden="1">
      <c r="A116" s="5" t="s">
        <v>1696</v>
      </c>
      <c r="B116" s="243">
        <f>VLOOKUP(A116,[3]Progress!$A$4:$AO$256,2,0)</f>
        <v>30572510031</v>
      </c>
      <c r="C116" s="244">
        <f>VLOOKUP(A116,[3]Progress!$A$4:$AO$256,3,0)</f>
        <v>1317701003</v>
      </c>
      <c r="D116" s="5" t="str">
        <f t="shared" si="2"/>
        <v>JAW-BT-TNG-1456</v>
      </c>
      <c r="E116" s="244" t="str">
        <f>VLOOKUP(A116,[3]Progress!$A$4:$AO$256,5,0)</f>
        <v>SMPN 14 Tangerang</v>
      </c>
      <c r="F116" s="244">
        <f>VLOOKUP(A116,[3]Progress!$A$4:$AP$256,31,0)</f>
        <v>0</v>
      </c>
      <c r="G116" s="244">
        <f>VLOOKUP(A116,[3]Progress!$A$4:$AP$256,32,0)</f>
        <v>0</v>
      </c>
      <c r="H116" s="244" t="str">
        <f>VLOOKUP(A116,[3]Progress!$A$4:$AP$256,11,0)</f>
        <v>XL</v>
      </c>
      <c r="I116" s="244" t="s">
        <v>4</v>
      </c>
      <c r="J116" s="244" t="s">
        <v>5</v>
      </c>
      <c r="K116" s="244" t="s">
        <v>178</v>
      </c>
      <c r="L116" s="244" t="s">
        <v>21</v>
      </c>
      <c r="M116" s="244" t="s">
        <v>2055</v>
      </c>
      <c r="N116" s="244" t="s">
        <v>2056</v>
      </c>
      <c r="O116" s="244"/>
      <c r="P116" s="244"/>
      <c r="Q116" s="244" t="str">
        <f>VLOOKUP(A116,[3]Progress!$A$4:$AO$256,38,0)</f>
        <v>106.64248</v>
      </c>
      <c r="T116" s="2"/>
    </row>
    <row r="117" spans="1:20" ht="75" hidden="1">
      <c r="A117" s="5" t="s">
        <v>1697</v>
      </c>
      <c r="B117" s="243" t="str">
        <f>VLOOKUP(A117,[3]Progress!$A$4:$AO$256,2,0)</f>
        <v>0030594980031</v>
      </c>
      <c r="C117" s="244" t="str">
        <f>VLOOKUP(A117,[3]Progress!$A$4:$AO$256,3,0)</f>
        <v>1128751003</v>
      </c>
      <c r="D117" s="5" t="str">
        <f t="shared" si="2"/>
        <v xml:space="preserve"> JAW-JK-TJP-0679</v>
      </c>
      <c r="E117" s="244" t="str">
        <f>VLOOKUP(A117,[3]Progress!$A$4:$AO$256,5,0)</f>
        <v>LONTAR DALAM KOJA</v>
      </c>
      <c r="F117" s="244" t="str">
        <f>VLOOKUP(A117,[3]Progress!$A$4:$AP$256,31,0)</f>
        <v>30.10.20 - Meminta Surat Kuasa Lurah kepada SEKCAM</v>
      </c>
      <c r="G117" s="244">
        <f>VLOOKUP(A117,[3]Progress!$A$4:$AP$256,32,0)</f>
        <v>0</v>
      </c>
      <c r="H117" s="244" t="str">
        <f>VLOOKUP(A117,[3]Progress!$A$4:$AP$256,11,0)</f>
        <v>XL</v>
      </c>
      <c r="I117" s="244" t="s">
        <v>4</v>
      </c>
      <c r="J117" s="244" t="s">
        <v>5</v>
      </c>
      <c r="K117" s="244" t="s">
        <v>314</v>
      </c>
      <c r="L117" s="244" t="s">
        <v>6</v>
      </c>
      <c r="M117" s="244" t="s">
        <v>2057</v>
      </c>
      <c r="N117" s="244" t="s">
        <v>2058</v>
      </c>
      <c r="O117" s="244"/>
      <c r="P117" s="244"/>
      <c r="Q117" s="244" t="str">
        <f>VLOOKUP(A117,[3]Progress!$A$4:$AO$256,38,0)</f>
        <v>106.91353</v>
      </c>
      <c r="T117" s="2"/>
    </row>
    <row r="118" spans="1:20" ht="45" hidden="1">
      <c r="A118" s="5" t="s">
        <v>1663</v>
      </c>
      <c r="B118" s="243">
        <f>VLOOKUP(A118,[3]Progress!$A$4:$AO$256,2,0)</f>
        <v>30573640031</v>
      </c>
      <c r="C118" s="244">
        <f>VLOOKUP(A118,[3]Progress!$A$4:$AO$256,3,0)</f>
        <v>1127961003</v>
      </c>
      <c r="D118" s="5" t="str">
        <f t="shared" si="2"/>
        <v>JAW-JK-CKG-0662</v>
      </c>
      <c r="E118" s="244" t="str">
        <f>VLOOKUP(A118,[3]Progress!$A$4:$AO$256,5,0)</f>
        <v>Nyiur Pondok Kelapa</v>
      </c>
      <c r="F118" s="244">
        <f>VLOOKUP(A118,[3]Progress!$A$4:$AP$261,31,0)</f>
        <v>0</v>
      </c>
      <c r="G118" s="244">
        <f>VLOOKUP(A118,[3]Progress!$A$4:$AP$256,32,0)</f>
        <v>0</v>
      </c>
      <c r="H118" s="244" t="str">
        <f>VLOOKUP(A118,[3]Progress!$A$4:$AP$256,11,0)</f>
        <v>XL</v>
      </c>
      <c r="I118" s="244" t="s">
        <v>4</v>
      </c>
      <c r="J118" s="244" t="s">
        <v>5</v>
      </c>
      <c r="K118" s="244" t="s">
        <v>2025</v>
      </c>
      <c r="L118" s="244" t="s">
        <v>35</v>
      </c>
      <c r="M118" s="244" t="s">
        <v>2026</v>
      </c>
      <c r="N118" s="244" t="s">
        <v>2027</v>
      </c>
      <c r="O118" s="244"/>
      <c r="P118" s="244"/>
      <c r="Q118" s="244" t="str">
        <f>VLOOKUP(A118,[3]Progress!$A$4:$AO$256,38,0)</f>
        <v>106.92663</v>
      </c>
      <c r="T118" s="2"/>
    </row>
    <row r="119" spans="1:20" ht="45" hidden="1">
      <c r="A119" s="5" t="s">
        <v>1698</v>
      </c>
      <c r="B119" s="243">
        <f>VLOOKUP(A119,[3]Progress!$A$4:$AO$261,2,0)</f>
        <v>0</v>
      </c>
      <c r="C119" s="244">
        <f>VLOOKUP(A119,[3]Progress!$A$4:$AO$261,3,0)</f>
        <v>0</v>
      </c>
      <c r="D119" s="5" t="str">
        <f t="shared" si="2"/>
        <v>JSX825</v>
      </c>
      <c r="E119" s="244" t="str">
        <f>VLOOKUP(A119,[3]Progress!$A$4:$AO$261,5,0)</f>
        <v>JLKOSTRAD</v>
      </c>
      <c r="F119" s="244">
        <f>VLOOKUP(A119,[3]Progress!$A$4:$AP$261,31,0)</f>
        <v>0</v>
      </c>
      <c r="G119" s="244">
        <f>VLOOKUP(A119,[3]Progress!$A$4:$AP$261,32,0)</f>
        <v>0</v>
      </c>
      <c r="H119" s="244" t="str">
        <f>VLOOKUP(A119,[3]Progress!$A$4:$AP$261,11,0)</f>
        <v>TSEL</v>
      </c>
      <c r="I119" s="244" t="s">
        <v>4</v>
      </c>
      <c r="J119" s="244" t="s">
        <v>5</v>
      </c>
      <c r="K119" s="244" t="s">
        <v>2059</v>
      </c>
      <c r="L119" s="244" t="s">
        <v>1079</v>
      </c>
      <c r="M119" s="244" t="s">
        <v>2060</v>
      </c>
      <c r="N119" s="244" t="s">
        <v>2061</v>
      </c>
      <c r="O119" s="244"/>
      <c r="P119" s="244"/>
      <c r="Q119" s="244" t="str">
        <f>VLOOKUP(A119,[3]Progress!$A$4:$AO$261,38,0)</f>
        <v>106.7606</v>
      </c>
      <c r="T119" s="2"/>
    </row>
    <row r="120" spans="1:20" ht="45" hidden="1">
      <c r="A120" s="5" t="s">
        <v>135</v>
      </c>
      <c r="B120" s="243" t="str">
        <f>VLOOKUP(A120,[3]Progress!$A$4:$AO$261,2,0)</f>
        <v>0030595820031</v>
      </c>
      <c r="C120" s="244">
        <f>VLOOKUP(A120,[3]Progress!$A$4:$AO$261,3,0)</f>
        <v>1262221003</v>
      </c>
      <c r="D120" s="5" t="str">
        <f t="shared" si="2"/>
        <v>JAW-JB-BKS-0708</v>
      </c>
      <c r="E120" s="244" t="str">
        <f>VLOOKUP(A120,[3]Progress!$A$4:$AO$261,5,0)</f>
        <v>BINTARA KENCANA TIMUR</v>
      </c>
      <c r="F120" s="244">
        <f>VLOOKUP(A120,[3]Progress!$A$4:$AP$261,31,0)</f>
        <v>0</v>
      </c>
      <c r="G120" s="244">
        <f>VLOOKUP(A120,[3]Progress!$A$4:$AP$261,32,0)</f>
        <v>0</v>
      </c>
      <c r="H120" s="244" t="str">
        <f>VLOOKUP(A120,[3]Progress!$A$4:$AP$261,11,0)</f>
        <v>XL</v>
      </c>
      <c r="I120" s="244" t="s">
        <v>4</v>
      </c>
      <c r="J120" s="244" t="s">
        <v>11</v>
      </c>
      <c r="K120" s="244" t="s">
        <v>178</v>
      </c>
      <c r="L120" s="244" t="s">
        <v>53</v>
      </c>
      <c r="M120" s="244" t="s">
        <v>2062</v>
      </c>
      <c r="N120" s="244" t="s">
        <v>2063</v>
      </c>
      <c r="O120" s="244"/>
      <c r="P120" s="244"/>
      <c r="Q120" s="244" t="str">
        <f>VLOOKUP(A120,[3]Progress!$A$4:$AO$261,38,0)</f>
        <v>106.95764</v>
      </c>
      <c r="T120" s="2"/>
    </row>
    <row r="121" spans="1:20" ht="45" hidden="1">
      <c r="A121" s="5" t="s">
        <v>1699</v>
      </c>
      <c r="B121" s="243" t="str">
        <f>VLOOKUP(A121,[3]Progress!$A$4:$AO$261,2,0)</f>
        <v>0030595410031</v>
      </c>
      <c r="C121" s="244">
        <f>VLOOKUP(A121,[3]Progress!$A$4:$AO$261,3,0)</f>
        <v>1262171003</v>
      </c>
      <c r="D121" s="5" t="str">
        <f t="shared" si="2"/>
        <v xml:space="preserve"> JAW-JB-BGR-0222</v>
      </c>
      <c r="E121" s="244" t="str">
        <f>VLOOKUP(A121,[3]Progress!$A$4:$AO$261,5,0)</f>
        <v>BABAKAN MADANG BOGOR</v>
      </c>
      <c r="F121" s="244">
        <f>VLOOKUP(A121,[3]Progress!$A$4:$AP$261,31,0)</f>
        <v>0</v>
      </c>
      <c r="G121" s="244">
        <f>VLOOKUP(A121,[3]Progress!$A$4:$AP$261,32,0)</f>
        <v>0</v>
      </c>
      <c r="H121" s="244" t="str">
        <f>VLOOKUP(A121,[3]Progress!$A$4:$AP$261,11,0)</f>
        <v>XL</v>
      </c>
      <c r="I121" s="244" t="s">
        <v>4</v>
      </c>
      <c r="J121" s="244" t="s">
        <v>11</v>
      </c>
      <c r="K121" s="244" t="s">
        <v>323</v>
      </c>
      <c r="L121" s="244" t="s">
        <v>26</v>
      </c>
      <c r="M121" s="244" t="s">
        <v>2064</v>
      </c>
      <c r="N121" s="244" t="s">
        <v>2065</v>
      </c>
      <c r="O121" s="244" t="s">
        <v>1624</v>
      </c>
      <c r="P121" s="244" t="s">
        <v>1442</v>
      </c>
      <c r="Q121" s="244" t="str">
        <f>VLOOKUP(A121,[3]Progress!$A$4:$AO$261,38,0)</f>
        <v>106.90257</v>
      </c>
      <c r="R121" s="2" t="s">
        <v>1624</v>
      </c>
      <c r="S121" s="2" t="s">
        <v>1442</v>
      </c>
      <c r="T121" s="2"/>
    </row>
    <row r="122" spans="1:20" ht="45" hidden="1">
      <c r="A122" s="5" t="s">
        <v>1700</v>
      </c>
      <c r="B122" s="243" t="str">
        <f>VLOOKUP(A122,[3]Progress!$A$4:$AO$261,2,0)</f>
        <v>0010601850011</v>
      </c>
      <c r="C122" s="244" t="str">
        <f>VLOOKUP(A122,[3]Progress!$A$4:$AO$261,3,0)</f>
        <v>1129191001</v>
      </c>
      <c r="D122" s="5" t="str">
        <f t="shared" si="2"/>
        <v>JSX900</v>
      </c>
      <c r="E122" s="244" t="str">
        <f>VLOOKUP(A122,[3]Progress!$A$4:$AO$261,5,0)</f>
        <v>KEBONBARUTEBET</v>
      </c>
      <c r="F122" s="244">
        <f>VLOOKUP(A122,[3]Progress!$A$4:$AP$261,31,0)</f>
        <v>0</v>
      </c>
      <c r="G122" s="244">
        <f>VLOOKUP(A122,[3]Progress!$A$4:$AP$261,32,0)</f>
        <v>0</v>
      </c>
      <c r="H122" s="244" t="str">
        <f>VLOOKUP(A122,[3]Progress!$A$4:$AP$261,11,0)</f>
        <v>TSEL</v>
      </c>
      <c r="I122" s="244" t="s">
        <v>4</v>
      </c>
      <c r="J122" s="244" t="s">
        <v>5</v>
      </c>
      <c r="K122" s="244" t="s">
        <v>2066</v>
      </c>
      <c r="L122" s="244" t="s">
        <v>1079</v>
      </c>
      <c r="M122" s="244" t="s">
        <v>2067</v>
      </c>
      <c r="N122" s="244" t="s">
        <v>2068</v>
      </c>
      <c r="O122" s="244"/>
      <c r="P122" s="244"/>
      <c r="Q122" s="244" t="str">
        <f>VLOOKUP(A122,[3]Progress!$A$4:$AO$261,38,0)</f>
        <v>106.8637</v>
      </c>
      <c r="T122" s="2"/>
    </row>
    <row r="123" spans="1:20" ht="45" hidden="1">
      <c r="A123" s="5" t="s">
        <v>127</v>
      </c>
      <c r="B123" s="243" t="str">
        <f>VLOOKUP(A123,[3]Progress!$A$4:$AO$261,2,0)</f>
        <v>0030594960031</v>
      </c>
      <c r="C123" s="244">
        <f>VLOOKUP(A123,[3]Progress!$A$4:$AO$261,3,0)</f>
        <v>1318231003</v>
      </c>
      <c r="D123" s="5" t="str">
        <f t="shared" si="2"/>
        <v>JAW-BT-CPT-0447</v>
      </c>
      <c r="E123" s="244" t="str">
        <f>VLOOKUP(A123,[3]Progress!$A$4:$AO$261,5,0)</f>
        <v>JALAN MENTAWAI TOL</v>
      </c>
      <c r="F123" s="244">
        <f>VLOOKUP(A123,[3]Progress!$A$4:$AP$261,31,0)</f>
        <v>0</v>
      </c>
      <c r="G123" s="244">
        <f>VLOOKUP(A123,[3]Progress!$A$4:$AP$261,32,0)</f>
        <v>0</v>
      </c>
      <c r="H123" s="244" t="str">
        <f>VLOOKUP(A123,[3]Progress!$A$4:$AP$261,11,0)</f>
        <v>XL</v>
      </c>
      <c r="I123" s="244" t="s">
        <v>4</v>
      </c>
      <c r="J123" s="244" t="s">
        <v>11</v>
      </c>
      <c r="K123" s="244" t="s">
        <v>314</v>
      </c>
      <c r="L123" s="244" t="s">
        <v>29</v>
      </c>
      <c r="M123" s="244" t="s">
        <v>2069</v>
      </c>
      <c r="N123" s="244" t="s">
        <v>2070</v>
      </c>
      <c r="O123" s="244"/>
      <c r="P123" s="244"/>
      <c r="Q123" s="244" t="str">
        <f>VLOOKUP(A123,[3]Progress!$A$4:$AO$261,38,0)</f>
        <v>106.69607</v>
      </c>
      <c r="T123" s="2"/>
    </row>
    <row r="124" spans="1:20" ht="45" hidden="1">
      <c r="A124" s="2" t="s">
        <v>112</v>
      </c>
      <c r="B124" s="243">
        <f>VLOOKUP(A124,[3]Progress!$A$4:$AO$261,2,0)</f>
        <v>30572180031</v>
      </c>
      <c r="C124" s="244">
        <f>VLOOKUP(A124,[3]Progress!$A$4:$AO$261,3,0)</f>
        <v>1317501003</v>
      </c>
      <c r="D124" s="5" t="str">
        <f t="shared" si="2"/>
        <v>JAW-BT-CPT-0476</v>
      </c>
      <c r="E124" s="244" t="str">
        <f>VLOOKUP(A124,[3]Progress!$A$4:$AO$261,5,0)</f>
        <v>Pondok Cabe Raya</v>
      </c>
      <c r="F124" s="244">
        <f>VLOOKUP(A124,[3]Progress!$A$4:$AP$261,31,0)</f>
        <v>0</v>
      </c>
      <c r="G124" s="244">
        <f>VLOOKUP(A124,[3]Progress!$A$4:$AP$261,32,0)</f>
        <v>0</v>
      </c>
      <c r="H124" s="244" t="str">
        <f>VLOOKUP(A124,[3]Progress!$A$4:$AP$261,11,0)</f>
        <v>XL</v>
      </c>
      <c r="I124" s="244" t="s">
        <v>4</v>
      </c>
      <c r="J124" s="244" t="s">
        <v>11</v>
      </c>
      <c r="K124" s="244" t="s">
        <v>314</v>
      </c>
      <c r="L124" s="244" t="s">
        <v>29</v>
      </c>
      <c r="M124" s="244">
        <v>-6.3308400000000002</v>
      </c>
      <c r="N124" s="244">
        <v>106.76953</v>
      </c>
      <c r="O124" s="244"/>
      <c r="P124" s="244"/>
      <c r="Q124" s="244">
        <f>VLOOKUP(A124,[3]Progress!$A$4:$AO$261,38,0)</f>
        <v>106.76953</v>
      </c>
      <c r="T124" s="2"/>
    </row>
    <row r="125" spans="1:20" hidden="1">
      <c r="A125" s="396" t="s">
        <v>187</v>
      </c>
      <c r="B125" s="25" t="s">
        <v>199</v>
      </c>
      <c r="C125" s="25" t="s">
        <v>404</v>
      </c>
      <c r="D125" s="396" t="s">
        <v>187</v>
      </c>
      <c r="E125" s="25" t="s">
        <v>874</v>
      </c>
      <c r="F125" s="25" t="s">
        <v>10</v>
      </c>
      <c r="G125" s="25" t="s">
        <v>100</v>
      </c>
      <c r="H125" s="25" t="s">
        <v>54</v>
      </c>
      <c r="I125" s="25" t="s">
        <v>4</v>
      </c>
      <c r="J125" s="25" t="s">
        <v>179</v>
      </c>
      <c r="K125" s="38">
        <v>-6.1811499999999997</v>
      </c>
      <c r="L125" s="38">
        <v>106.22681</v>
      </c>
      <c r="M125" s="397" t="s">
        <v>11</v>
      </c>
      <c r="N125" s="25" t="s">
        <v>2071</v>
      </c>
      <c r="O125" s="397" t="s">
        <v>878</v>
      </c>
      <c r="P125" s="397" t="s">
        <v>20</v>
      </c>
      <c r="Q125" s="398">
        <v>52</v>
      </c>
      <c r="R125" s="399" t="s">
        <v>1624</v>
      </c>
      <c r="S125" s="25" t="s">
        <v>165</v>
      </c>
      <c r="T125" s="25" t="s">
        <v>2072</v>
      </c>
    </row>
    <row r="126" spans="1:20" hidden="1">
      <c r="A126" s="396"/>
      <c r="B126" s="25" t="s">
        <v>201</v>
      </c>
      <c r="C126" s="25" t="s">
        <v>406</v>
      </c>
      <c r="D126" s="396" t="s">
        <v>211</v>
      </c>
      <c r="E126" s="25" t="s">
        <v>883</v>
      </c>
      <c r="F126" s="25" t="s">
        <v>10</v>
      </c>
      <c r="G126" s="25" t="s">
        <v>100</v>
      </c>
      <c r="H126" s="25" t="s">
        <v>54</v>
      </c>
      <c r="I126" s="25" t="s">
        <v>4</v>
      </c>
      <c r="J126" s="2" t="s">
        <v>316</v>
      </c>
      <c r="K126" s="420">
        <v>-6.5270999999999999</v>
      </c>
      <c r="L126" s="420">
        <v>106.90725999999999</v>
      </c>
      <c r="M126" s="397" t="s">
        <v>11</v>
      </c>
      <c r="N126" s="2" t="s">
        <v>2113</v>
      </c>
      <c r="O126" s="2" t="s">
        <v>26</v>
      </c>
      <c r="P126" s="2" t="s">
        <v>13</v>
      </c>
      <c r="Q126" s="2">
        <v>52</v>
      </c>
      <c r="R126" s="399" t="s">
        <v>1624</v>
      </c>
      <c r="S126" s="25" t="s">
        <v>165</v>
      </c>
      <c r="T126" s="25" t="s">
        <v>2072</v>
      </c>
    </row>
    <row r="127" spans="1:20" hidden="1">
      <c r="B127" s="490" t="s">
        <v>2117</v>
      </c>
      <c r="C127" s="396">
        <v>1264121023</v>
      </c>
      <c r="D127" s="411" t="s">
        <v>2083</v>
      </c>
      <c r="E127" s="396" t="s">
        <v>2087</v>
      </c>
      <c r="F127" s="25" t="s">
        <v>10</v>
      </c>
      <c r="G127" s="25" t="s">
        <v>100</v>
      </c>
      <c r="H127" s="25" t="s">
        <v>54</v>
      </c>
      <c r="I127" s="25" t="s">
        <v>4</v>
      </c>
      <c r="J127" s="2" t="s">
        <v>179</v>
      </c>
      <c r="K127" s="556">
        <v>-6.37906</v>
      </c>
      <c r="L127" s="556">
        <v>106.55474</v>
      </c>
      <c r="M127" s="397" t="s">
        <v>11</v>
      </c>
      <c r="N127" s="412" t="s">
        <v>2302</v>
      </c>
      <c r="O127" s="2" t="s">
        <v>26</v>
      </c>
      <c r="P127" s="2" t="s">
        <v>13</v>
      </c>
      <c r="Q127" s="2">
        <v>62</v>
      </c>
      <c r="R127" s="2" t="s">
        <v>2307</v>
      </c>
      <c r="S127" s="2" t="s">
        <v>163</v>
      </c>
      <c r="T127" s="2" t="s">
        <v>2308</v>
      </c>
    </row>
    <row r="128" spans="1:20" hidden="1">
      <c r="B128" s="25" t="s">
        <v>55</v>
      </c>
      <c r="C128" s="25" t="s">
        <v>141</v>
      </c>
      <c r="D128" s="396" t="s">
        <v>142</v>
      </c>
      <c r="E128" s="493" t="s">
        <v>56</v>
      </c>
      <c r="F128" s="25" t="s">
        <v>10</v>
      </c>
      <c r="G128" s="25" t="s">
        <v>100</v>
      </c>
      <c r="H128" s="25" t="s">
        <v>54</v>
      </c>
      <c r="I128" s="25" t="s">
        <v>4</v>
      </c>
      <c r="J128" s="2" t="s">
        <v>178</v>
      </c>
      <c r="K128" s="240">
        <v>-6.1821700000000002</v>
      </c>
      <c r="L128" s="240">
        <v>106.67230000000001</v>
      </c>
      <c r="M128" s="397" t="s">
        <v>5</v>
      </c>
      <c r="O128" s="2" t="s">
        <v>21</v>
      </c>
      <c r="P128" s="2" t="s">
        <v>20</v>
      </c>
      <c r="Q128" s="2">
        <v>32</v>
      </c>
      <c r="R128" s="2" t="s">
        <v>1694</v>
      </c>
      <c r="S128" s="2" t="s">
        <v>163</v>
      </c>
      <c r="T128" s="2" t="s">
        <v>2181</v>
      </c>
    </row>
    <row r="129" spans="2:20" hidden="1">
      <c r="B129" s="25" t="s">
        <v>198</v>
      </c>
      <c r="C129" s="25" t="s">
        <v>403</v>
      </c>
      <c r="D129" s="396" t="s">
        <v>186</v>
      </c>
      <c r="E129" s="25" t="s">
        <v>870</v>
      </c>
      <c r="F129" s="25" t="s">
        <v>10</v>
      </c>
      <c r="G129" s="25" t="s">
        <v>100</v>
      </c>
      <c r="H129" s="25" t="s">
        <v>54</v>
      </c>
      <c r="I129" s="25" t="s">
        <v>4</v>
      </c>
      <c r="J129" s="25" t="s">
        <v>1949</v>
      </c>
      <c r="K129" s="37">
        <v>-6.0982200000000004</v>
      </c>
      <c r="L129" s="38">
        <v>106.37063999999999</v>
      </c>
      <c r="M129" s="397" t="s">
        <v>11</v>
      </c>
      <c r="N129" s="397" t="s">
        <v>2185</v>
      </c>
      <c r="O129" s="2" t="s">
        <v>19</v>
      </c>
      <c r="P129" s="2" t="s">
        <v>20</v>
      </c>
      <c r="Q129" s="2" t="s">
        <v>1011</v>
      </c>
      <c r="R129" s="2" t="s">
        <v>2190</v>
      </c>
      <c r="S129" s="2" t="s">
        <v>165</v>
      </c>
      <c r="T129" s="2" t="s">
        <v>2166</v>
      </c>
    </row>
    <row r="130" spans="2:20" hidden="1">
      <c r="B130" s="25" t="s">
        <v>203</v>
      </c>
      <c r="C130" s="25" t="s">
        <v>407</v>
      </c>
      <c r="D130" s="396" t="s">
        <v>190</v>
      </c>
      <c r="E130" s="25" t="s">
        <v>891</v>
      </c>
      <c r="F130" s="25" t="s">
        <v>10</v>
      </c>
      <c r="G130" s="25" t="s">
        <v>100</v>
      </c>
      <c r="H130" s="25" t="s">
        <v>54</v>
      </c>
      <c r="I130" s="25" t="s">
        <v>4</v>
      </c>
      <c r="J130" s="25" t="s">
        <v>178</v>
      </c>
      <c r="K130" s="25">
        <v>-6.3916399999999998</v>
      </c>
      <c r="L130" s="25">
        <v>106.69343000000001</v>
      </c>
      <c r="M130" s="397" t="s">
        <v>11</v>
      </c>
      <c r="N130" s="25" t="s">
        <v>2187</v>
      </c>
      <c r="O130" s="2" t="s">
        <v>26</v>
      </c>
      <c r="P130" s="2" t="s">
        <v>13</v>
      </c>
      <c r="Q130" s="2" t="s">
        <v>1011</v>
      </c>
      <c r="R130" s="2" t="s">
        <v>2189</v>
      </c>
      <c r="S130" s="2" t="s">
        <v>165</v>
      </c>
      <c r="T130" s="2" t="s">
        <v>2188</v>
      </c>
    </row>
    <row r="131" spans="2:20" hidden="1">
      <c r="B131" s="490" t="s">
        <v>2115</v>
      </c>
      <c r="C131" s="396">
        <v>1264101023</v>
      </c>
      <c r="D131" s="411" t="s">
        <v>2081</v>
      </c>
      <c r="E131" s="396" t="s">
        <v>2085</v>
      </c>
      <c r="F131" s="25" t="s">
        <v>10</v>
      </c>
      <c r="G131" s="25" t="s">
        <v>100</v>
      </c>
      <c r="H131" s="25" t="s">
        <v>54</v>
      </c>
      <c r="I131" s="25" t="s">
        <v>4</v>
      </c>
      <c r="J131" s="25" t="s">
        <v>316</v>
      </c>
      <c r="K131" s="25">
        <v>-6.6587100000000001</v>
      </c>
      <c r="L131" s="25">
        <v>106.71405</v>
      </c>
      <c r="M131" s="397" t="s">
        <v>11</v>
      </c>
      <c r="N131" s="412" t="s">
        <v>2197</v>
      </c>
      <c r="O131" s="2" t="s">
        <v>26</v>
      </c>
      <c r="P131" s="2" t="s">
        <v>13</v>
      </c>
      <c r="Q131" s="2" t="s">
        <v>1011</v>
      </c>
      <c r="S131" s="2" t="s">
        <v>163</v>
      </c>
      <c r="T131" s="2" t="s">
        <v>2198</v>
      </c>
    </row>
    <row r="132" spans="2:20" hidden="1">
      <c r="B132" s="25" t="s">
        <v>933</v>
      </c>
      <c r="C132" s="25" t="s">
        <v>936</v>
      </c>
      <c r="D132" s="25" t="s">
        <v>2159</v>
      </c>
      <c r="E132" s="25" t="s">
        <v>937</v>
      </c>
      <c r="F132" s="25" t="s">
        <v>10</v>
      </c>
      <c r="G132" s="25" t="s">
        <v>100</v>
      </c>
      <c r="H132" s="25" t="s">
        <v>54</v>
      </c>
      <c r="I132" s="25" t="s">
        <v>4</v>
      </c>
      <c r="J132" s="25" t="s">
        <v>314</v>
      </c>
      <c r="K132" s="25">
        <v>-6.5859699999999997</v>
      </c>
      <c r="L132" s="25">
        <v>106.66284</v>
      </c>
      <c r="M132" s="397" t="s">
        <v>11</v>
      </c>
      <c r="N132" s="25" t="s">
        <v>2223</v>
      </c>
      <c r="O132" s="2" t="s">
        <v>26</v>
      </c>
      <c r="P132" s="2" t="s">
        <v>13</v>
      </c>
      <c r="Q132" s="2" t="s">
        <v>2230</v>
      </c>
      <c r="R132" s="2" t="s">
        <v>2189</v>
      </c>
      <c r="S132" s="2" t="s">
        <v>163</v>
      </c>
      <c r="T132" s="2" t="s">
        <v>2188</v>
      </c>
    </row>
    <row r="133" spans="2:20" hidden="1">
      <c r="B133" s="490" t="s">
        <v>2116</v>
      </c>
      <c r="C133" s="396">
        <v>1264111023</v>
      </c>
      <c r="D133" s="411" t="s">
        <v>2082</v>
      </c>
      <c r="E133" s="396" t="s">
        <v>2086</v>
      </c>
      <c r="F133" s="25" t="s">
        <v>10</v>
      </c>
      <c r="G133" s="25" t="s">
        <v>100</v>
      </c>
      <c r="H133" s="25" t="s">
        <v>54</v>
      </c>
      <c r="I133" s="25" t="s">
        <v>4</v>
      </c>
      <c r="J133" s="25" t="s">
        <v>314</v>
      </c>
      <c r="K133" s="417">
        <v>-7.0009899999999998</v>
      </c>
      <c r="L133" s="417">
        <v>106.71787999999999</v>
      </c>
      <c r="M133" s="397" t="s">
        <v>11</v>
      </c>
      <c r="N133" s="412" t="s">
        <v>2226</v>
      </c>
      <c r="O133" s="2" t="s">
        <v>12</v>
      </c>
      <c r="P133" s="2" t="s">
        <v>13</v>
      </c>
      <c r="Q133" s="2" t="s">
        <v>2230</v>
      </c>
      <c r="R133" s="2" t="s">
        <v>2231</v>
      </c>
      <c r="S133" s="2" t="s">
        <v>163</v>
      </c>
      <c r="T133" s="2" t="s">
        <v>2198</v>
      </c>
    </row>
    <row r="134" spans="2:20" hidden="1">
      <c r="B134" s="25" t="s">
        <v>2213</v>
      </c>
      <c r="C134" s="25" t="s">
        <v>2214</v>
      </c>
      <c r="D134" s="25" t="s">
        <v>2163</v>
      </c>
      <c r="E134" s="25" t="s">
        <v>2220</v>
      </c>
      <c r="F134" s="25" t="s">
        <v>10</v>
      </c>
      <c r="G134" s="25" t="s">
        <v>100</v>
      </c>
      <c r="H134" s="2" t="s">
        <v>3</v>
      </c>
      <c r="I134" s="25" t="s">
        <v>4</v>
      </c>
      <c r="J134" s="2" t="s">
        <v>2162</v>
      </c>
      <c r="K134" s="417">
        <v>-6.90022</v>
      </c>
      <c r="L134" s="417">
        <v>106.89327</v>
      </c>
      <c r="M134" s="397" t="s">
        <v>11</v>
      </c>
      <c r="N134" s="2" t="s">
        <v>2232</v>
      </c>
      <c r="O134" s="2" t="s">
        <v>12</v>
      </c>
      <c r="P134" s="2" t="s">
        <v>13</v>
      </c>
      <c r="Q134" s="2" t="s">
        <v>1011</v>
      </c>
      <c r="R134" s="2" t="s">
        <v>1624</v>
      </c>
      <c r="S134" s="2" t="s">
        <v>165</v>
      </c>
      <c r="T134" s="2" t="s">
        <v>1616</v>
      </c>
    </row>
    <row r="135" spans="2:20" hidden="1">
      <c r="B135" s="25" t="s">
        <v>2258</v>
      </c>
      <c r="C135" s="25" t="s">
        <v>2259</v>
      </c>
      <c r="D135" s="25" t="s">
        <v>2210</v>
      </c>
      <c r="E135" s="25" t="s">
        <v>2204</v>
      </c>
      <c r="F135" s="25" t="s">
        <v>10</v>
      </c>
      <c r="G135" s="25" t="s">
        <v>100</v>
      </c>
      <c r="H135" s="2" t="s">
        <v>3</v>
      </c>
      <c r="I135" s="25" t="s">
        <v>4</v>
      </c>
      <c r="J135" s="2" t="s">
        <v>1978</v>
      </c>
      <c r="K135" s="25">
        <v>-6.2235899999999997</v>
      </c>
      <c r="L135" s="25">
        <v>106.34509</v>
      </c>
      <c r="M135" s="397" t="s">
        <v>11</v>
      </c>
      <c r="N135" s="25" t="s">
        <v>2291</v>
      </c>
      <c r="O135" s="2" t="s">
        <v>772</v>
      </c>
      <c r="P135" s="2" t="s">
        <v>20</v>
      </c>
      <c r="Q135" s="2" t="s">
        <v>1024</v>
      </c>
      <c r="R135" s="2" t="s">
        <v>1624</v>
      </c>
      <c r="S135" s="2" t="s">
        <v>165</v>
      </c>
      <c r="T135" s="2" t="s">
        <v>1616</v>
      </c>
    </row>
    <row r="136" spans="2:20" hidden="1">
      <c r="B136" s="25" t="s">
        <v>200</v>
      </c>
      <c r="C136" s="25" t="s">
        <v>405</v>
      </c>
      <c r="D136" s="396" t="s">
        <v>188</v>
      </c>
      <c r="E136" s="25" t="s">
        <v>879</v>
      </c>
      <c r="F136" s="25" t="s">
        <v>10</v>
      </c>
      <c r="G136" s="25" t="s">
        <v>100</v>
      </c>
      <c r="H136" s="25" t="s">
        <v>54</v>
      </c>
      <c r="I136" s="25" t="s">
        <v>4</v>
      </c>
      <c r="J136" s="2" t="s">
        <v>323</v>
      </c>
      <c r="K136" s="819">
        <v>-6.8682999999999996</v>
      </c>
      <c r="L136" s="819">
        <v>106.76854</v>
      </c>
      <c r="M136" s="397" t="s">
        <v>11</v>
      </c>
      <c r="N136" s="25" t="s">
        <v>2292</v>
      </c>
      <c r="O136" s="2" t="s">
        <v>12</v>
      </c>
      <c r="P136" s="2" t="s">
        <v>13</v>
      </c>
      <c r="Q136" s="2" t="s">
        <v>1011</v>
      </c>
      <c r="R136" s="2" t="s">
        <v>1694</v>
      </c>
      <c r="S136" s="2" t="s">
        <v>163</v>
      </c>
      <c r="T136" s="2" t="s">
        <v>2181</v>
      </c>
    </row>
    <row r="137" spans="2:20" hidden="1">
      <c r="B137" s="25" t="s">
        <v>210</v>
      </c>
      <c r="C137" s="561" t="s">
        <v>414</v>
      </c>
      <c r="D137" s="396" t="s">
        <v>197</v>
      </c>
      <c r="E137" s="25" t="s">
        <v>919</v>
      </c>
      <c r="F137" s="25" t="s">
        <v>10</v>
      </c>
      <c r="G137" s="25" t="s">
        <v>100</v>
      </c>
      <c r="H137" s="25" t="s">
        <v>54</v>
      </c>
      <c r="I137" s="25" t="s">
        <v>4</v>
      </c>
      <c r="J137" s="25" t="s">
        <v>323</v>
      </c>
      <c r="K137" s="25">
        <v>-6.3792</v>
      </c>
      <c r="L137" s="25">
        <v>106.65586</v>
      </c>
      <c r="M137" s="397" t="s">
        <v>11</v>
      </c>
      <c r="N137" s="25" t="s">
        <v>2074</v>
      </c>
      <c r="O137" s="2" t="s">
        <v>26</v>
      </c>
      <c r="P137" s="2" t="s">
        <v>13</v>
      </c>
      <c r="Q137" s="2" t="s">
        <v>1011</v>
      </c>
      <c r="R137" s="2" t="s">
        <v>2189</v>
      </c>
      <c r="S137" s="2" t="s">
        <v>163</v>
      </c>
      <c r="T137" s="2" t="s">
        <v>2188</v>
      </c>
    </row>
    <row r="138" spans="2:20" hidden="1">
      <c r="B138" s="490" t="s">
        <v>2309</v>
      </c>
      <c r="C138" s="396">
        <v>1264091023</v>
      </c>
      <c r="D138" s="411" t="s">
        <v>2080</v>
      </c>
      <c r="E138" s="2" t="s">
        <v>2084</v>
      </c>
      <c r="F138" s="25" t="s">
        <v>10</v>
      </c>
      <c r="G138" s="25" t="s">
        <v>100</v>
      </c>
      <c r="H138" s="25" t="s">
        <v>54</v>
      </c>
      <c r="I138" s="25" t="s">
        <v>4</v>
      </c>
      <c r="J138" s="2" t="s">
        <v>323</v>
      </c>
      <c r="K138" s="819">
        <v>-6.5833399999999997</v>
      </c>
      <c r="L138" s="819">
        <v>106.63543</v>
      </c>
      <c r="M138" s="397" t="s">
        <v>11</v>
      </c>
      <c r="N138" s="412" t="s">
        <v>2540</v>
      </c>
      <c r="O138" s="2" t="s">
        <v>26</v>
      </c>
      <c r="P138" s="2" t="s">
        <v>13</v>
      </c>
      <c r="Q138" s="2" t="s">
        <v>2230</v>
      </c>
      <c r="R138" s="2" t="s">
        <v>2568</v>
      </c>
      <c r="T138" s="2" t="s">
        <v>2567</v>
      </c>
    </row>
    <row r="139" spans="2:20" hidden="1">
      <c r="B139" s="25" t="s">
        <v>208</v>
      </c>
      <c r="C139" s="561" t="s">
        <v>412</v>
      </c>
      <c r="D139" s="396" t="s">
        <v>195</v>
      </c>
      <c r="E139" s="25" t="s">
        <v>911</v>
      </c>
      <c r="F139" s="25" t="s">
        <v>10</v>
      </c>
      <c r="G139" s="25" t="s">
        <v>100</v>
      </c>
      <c r="H139" s="25" t="s">
        <v>54</v>
      </c>
      <c r="I139" s="25" t="s">
        <v>4</v>
      </c>
      <c r="J139" s="25" t="s">
        <v>316</v>
      </c>
      <c r="K139" s="25">
        <v>-6.1077899999999996</v>
      </c>
      <c r="L139" s="25">
        <v>106.64662</v>
      </c>
      <c r="M139" s="397" t="s">
        <v>11</v>
      </c>
      <c r="N139" s="562" t="s">
        <v>2317</v>
      </c>
      <c r="O139" s="2" t="s">
        <v>19</v>
      </c>
      <c r="P139" s="2" t="s">
        <v>20</v>
      </c>
      <c r="Q139" s="2" t="s">
        <v>1198</v>
      </c>
      <c r="R139" s="2" t="s">
        <v>1694</v>
      </c>
      <c r="S139" s="2" t="s">
        <v>163</v>
      </c>
      <c r="T139" s="2" t="s">
        <v>2318</v>
      </c>
    </row>
    <row r="140" spans="2:20" hidden="1">
      <c r="B140" s="25" t="s">
        <v>2261</v>
      </c>
      <c r="C140" s="25" t="s">
        <v>2262</v>
      </c>
      <c r="D140" s="25" t="s">
        <v>2206</v>
      </c>
      <c r="E140" s="25" t="s">
        <v>2200</v>
      </c>
      <c r="F140" s="25" t="s">
        <v>10</v>
      </c>
      <c r="G140" s="25" t="s">
        <v>100</v>
      </c>
      <c r="H140" s="2" t="s">
        <v>3</v>
      </c>
      <c r="I140" s="25" t="s">
        <v>4</v>
      </c>
      <c r="J140" s="2" t="s">
        <v>1975</v>
      </c>
      <c r="K140" s="819">
        <v>-6.3455300000000001</v>
      </c>
      <c r="L140" s="819">
        <v>106.37975</v>
      </c>
      <c r="M140" s="397" t="s">
        <v>11</v>
      </c>
      <c r="N140" s="25" t="s">
        <v>2323</v>
      </c>
      <c r="O140" s="2" t="s">
        <v>2212</v>
      </c>
      <c r="P140" s="2" t="s">
        <v>20</v>
      </c>
      <c r="Q140" s="2" t="s">
        <v>1011</v>
      </c>
      <c r="R140" s="2" t="s">
        <v>1643</v>
      </c>
      <c r="S140" s="2" t="s">
        <v>165</v>
      </c>
      <c r="T140" s="2" t="s">
        <v>2331</v>
      </c>
    </row>
    <row r="141" spans="2:20" hidden="1">
      <c r="B141" s="561" t="s">
        <v>2267</v>
      </c>
      <c r="C141" s="561" t="s">
        <v>2268</v>
      </c>
      <c r="D141" s="25" t="s">
        <v>2207</v>
      </c>
      <c r="E141" s="575" t="s">
        <v>2201</v>
      </c>
      <c r="F141" s="25" t="s">
        <v>10</v>
      </c>
      <c r="G141" s="25" t="s">
        <v>100</v>
      </c>
      <c r="H141" s="2" t="s">
        <v>3</v>
      </c>
      <c r="I141" s="25" t="s">
        <v>4</v>
      </c>
      <c r="J141" s="2" t="s">
        <v>2338</v>
      </c>
      <c r="K141" s="25">
        <v>-6.6285100000000003</v>
      </c>
      <c r="L141" s="25">
        <v>106.54255999999999</v>
      </c>
      <c r="M141" s="397" t="s">
        <v>11</v>
      </c>
      <c r="N141" s="25" t="s">
        <v>2365</v>
      </c>
      <c r="O141" s="2" t="s">
        <v>26</v>
      </c>
      <c r="P141" s="2" t="s">
        <v>13</v>
      </c>
      <c r="Q141" s="2" t="s">
        <v>1011</v>
      </c>
      <c r="R141" s="2" t="s">
        <v>1624</v>
      </c>
      <c r="S141" s="2" t="s">
        <v>163</v>
      </c>
      <c r="T141" s="2" t="s">
        <v>1616</v>
      </c>
    </row>
    <row r="142" spans="2:20" hidden="1">
      <c r="B142" s="25" t="s">
        <v>2345</v>
      </c>
      <c r="C142" s="864" t="s">
        <v>2346</v>
      </c>
      <c r="D142" s="554" t="s">
        <v>2285</v>
      </c>
      <c r="E142" s="554" t="s">
        <v>2286</v>
      </c>
      <c r="F142" s="25" t="s">
        <v>10</v>
      </c>
      <c r="G142" s="25" t="s">
        <v>100</v>
      </c>
      <c r="H142" s="2" t="s">
        <v>3</v>
      </c>
      <c r="I142" s="25" t="s">
        <v>4</v>
      </c>
      <c r="J142" s="2" t="s">
        <v>2295</v>
      </c>
      <c r="K142" s="25">
        <v>-6.8959900000000003</v>
      </c>
      <c r="L142" s="25">
        <v>106.94812</v>
      </c>
      <c r="M142" s="397" t="s">
        <v>11</v>
      </c>
      <c r="N142" s="25" t="s">
        <v>2383</v>
      </c>
      <c r="O142" s="2" t="s">
        <v>12</v>
      </c>
      <c r="P142" s="2" t="s">
        <v>13</v>
      </c>
      <c r="Q142" s="2" t="s">
        <v>1011</v>
      </c>
      <c r="R142" s="2" t="s">
        <v>1624</v>
      </c>
      <c r="S142" s="2" t="s">
        <v>163</v>
      </c>
      <c r="T142" s="2" t="s">
        <v>1616</v>
      </c>
    </row>
    <row r="143" spans="2:20" hidden="1">
      <c r="B143" s="25" t="s">
        <v>209</v>
      </c>
      <c r="C143" s="561" t="s">
        <v>413</v>
      </c>
      <c r="D143" s="396" t="s">
        <v>196</v>
      </c>
      <c r="E143" s="25" t="s">
        <v>915</v>
      </c>
      <c r="F143" s="25" t="s">
        <v>10</v>
      </c>
      <c r="G143" s="25" t="s">
        <v>100</v>
      </c>
      <c r="H143" s="25" t="s">
        <v>54</v>
      </c>
      <c r="I143" s="25" t="s">
        <v>4</v>
      </c>
      <c r="J143" s="2" t="s">
        <v>323</v>
      </c>
      <c r="K143" s="25">
        <v>-6.3783500000000002</v>
      </c>
      <c r="L143" s="25">
        <v>106.77546</v>
      </c>
      <c r="M143" s="397" t="s">
        <v>5</v>
      </c>
      <c r="N143" s="25" t="s">
        <v>2370</v>
      </c>
      <c r="O143" s="2" t="s">
        <v>497</v>
      </c>
      <c r="P143" s="2" t="s">
        <v>13</v>
      </c>
      <c r="Q143" s="2" t="s">
        <v>2414</v>
      </c>
      <c r="R143" s="2" t="s">
        <v>2231</v>
      </c>
      <c r="S143" s="2" t="s">
        <v>165</v>
      </c>
      <c r="T143" s="2" t="s">
        <v>2415</v>
      </c>
    </row>
    <row r="144" spans="2:20" hidden="1">
      <c r="B144" s="25" t="s">
        <v>2384</v>
      </c>
      <c r="C144" s="25" t="s">
        <v>2389</v>
      </c>
      <c r="D144" s="25" t="s">
        <v>2390</v>
      </c>
      <c r="E144" s="25" t="s">
        <v>2391</v>
      </c>
      <c r="F144" s="25" t="s">
        <v>10</v>
      </c>
      <c r="G144" s="25" t="s">
        <v>100</v>
      </c>
      <c r="H144" s="2" t="s">
        <v>3</v>
      </c>
      <c r="I144" s="2" t="s">
        <v>4</v>
      </c>
      <c r="J144" s="2" t="s">
        <v>1975</v>
      </c>
      <c r="K144" s="819">
        <v>-6.1634399999999996</v>
      </c>
      <c r="L144" s="819">
        <v>106.62672999999999</v>
      </c>
      <c r="M144" s="397" t="s">
        <v>5</v>
      </c>
      <c r="N144" s="25" t="s">
        <v>2416</v>
      </c>
      <c r="O144" s="2" t="s">
        <v>21</v>
      </c>
      <c r="P144" s="2" t="s">
        <v>20</v>
      </c>
      <c r="Q144" s="2" t="s">
        <v>1024</v>
      </c>
      <c r="R144" s="2" t="s">
        <v>2420</v>
      </c>
      <c r="S144" s="2" t="s">
        <v>165</v>
      </c>
      <c r="T144" s="2" t="s">
        <v>2421</v>
      </c>
    </row>
    <row r="145" spans="2:20" hidden="1">
      <c r="B145" s="239" t="s">
        <v>2423</v>
      </c>
      <c r="C145" s="239" t="s">
        <v>2425</v>
      </c>
      <c r="D145" s="2" t="s">
        <v>2424</v>
      </c>
      <c r="E145" s="2" t="s">
        <v>2422</v>
      </c>
      <c r="F145" s="25" t="s">
        <v>10</v>
      </c>
      <c r="G145" s="25" t="s">
        <v>100</v>
      </c>
      <c r="H145" s="2" t="s">
        <v>16</v>
      </c>
      <c r="I145" s="2" t="s">
        <v>4</v>
      </c>
      <c r="K145" s="240">
        <v>-6.2155899999999997</v>
      </c>
      <c r="L145" s="240">
        <v>106.62126000000001</v>
      </c>
      <c r="M145" s="397" t="s">
        <v>5</v>
      </c>
      <c r="N145" s="2" t="s">
        <v>2426</v>
      </c>
      <c r="O145" s="2" t="s">
        <v>21</v>
      </c>
      <c r="P145" s="2" t="s">
        <v>20</v>
      </c>
      <c r="Q145" s="2" t="s">
        <v>1198</v>
      </c>
      <c r="R145" s="2" t="s">
        <v>1505</v>
      </c>
      <c r="T145" s="2" t="s">
        <v>2427</v>
      </c>
    </row>
    <row r="146" spans="2:20" hidden="1">
      <c r="B146" s="25" t="s">
        <v>204</v>
      </c>
      <c r="C146" s="25" t="s">
        <v>408</v>
      </c>
      <c r="D146" s="396" t="s">
        <v>191</v>
      </c>
      <c r="E146" s="2" t="s">
        <v>895</v>
      </c>
      <c r="F146" s="2" t="s">
        <v>10</v>
      </c>
      <c r="G146" s="2" t="s">
        <v>100</v>
      </c>
      <c r="H146" s="25" t="s">
        <v>54</v>
      </c>
      <c r="I146" s="2" t="s">
        <v>4</v>
      </c>
      <c r="J146" s="2" t="s">
        <v>178</v>
      </c>
      <c r="K146" s="25">
        <v>-6.0774100000000004</v>
      </c>
      <c r="L146" s="25">
        <v>106.68402</v>
      </c>
      <c r="M146" s="397" t="s">
        <v>11</v>
      </c>
      <c r="N146" s="25" t="s">
        <v>2440</v>
      </c>
      <c r="P146" s="2" t="s">
        <v>20</v>
      </c>
      <c r="Q146" s="2" t="s">
        <v>1024</v>
      </c>
      <c r="R146" s="2" t="s">
        <v>2231</v>
      </c>
      <c r="S146" s="2" t="s">
        <v>165</v>
      </c>
      <c r="T146" s="2" t="s">
        <v>2415</v>
      </c>
    </row>
    <row r="147" spans="2:20" hidden="1">
      <c r="B147" s="239" t="s">
        <v>2449</v>
      </c>
      <c r="C147" s="239" t="s">
        <v>2450</v>
      </c>
      <c r="D147" s="2" t="s">
        <v>2451</v>
      </c>
      <c r="E147" s="2" t="s">
        <v>2452</v>
      </c>
      <c r="G147" s="2" t="s">
        <v>2211</v>
      </c>
      <c r="H147" s="2" t="s">
        <v>3</v>
      </c>
      <c r="I147" s="2" t="s">
        <v>216</v>
      </c>
      <c r="K147" s="38">
        <v>-6.0897899999999998</v>
      </c>
      <c r="L147" s="240">
        <v>106.743832</v>
      </c>
      <c r="M147" s="397" t="s">
        <v>5</v>
      </c>
      <c r="N147" s="2" t="s">
        <v>2453</v>
      </c>
      <c r="O147" s="2" t="s">
        <v>2454</v>
      </c>
      <c r="P147" s="2" t="s">
        <v>7</v>
      </c>
      <c r="Q147" s="2" t="s">
        <v>2455</v>
      </c>
      <c r="T147" s="2"/>
    </row>
    <row r="148" spans="2:20" hidden="1">
      <c r="B148" s="25" t="s">
        <v>205</v>
      </c>
      <c r="C148" s="25" t="s">
        <v>409</v>
      </c>
      <c r="D148" s="396" t="s">
        <v>192</v>
      </c>
      <c r="E148" s="25" t="s">
        <v>899</v>
      </c>
      <c r="F148" s="2" t="s">
        <v>10</v>
      </c>
      <c r="G148" s="2" t="s">
        <v>100</v>
      </c>
      <c r="H148" s="25" t="s">
        <v>54</v>
      </c>
      <c r="I148" s="2" t="s">
        <v>4</v>
      </c>
      <c r="J148" s="2" t="s">
        <v>178</v>
      </c>
      <c r="K148" s="240">
        <v>-6.2440600000000002</v>
      </c>
      <c r="L148" s="240">
        <v>106.48057</v>
      </c>
      <c r="M148" s="397" t="s">
        <v>11</v>
      </c>
      <c r="N148" s="2" t="s">
        <v>2456</v>
      </c>
      <c r="O148" s="2" t="s">
        <v>19</v>
      </c>
      <c r="P148" s="2" t="s">
        <v>20</v>
      </c>
      <c r="Q148" s="2" t="s">
        <v>1011</v>
      </c>
      <c r="R148" s="2" t="s">
        <v>2189</v>
      </c>
      <c r="S148" s="2" t="s">
        <v>165</v>
      </c>
      <c r="T148" s="2" t="s">
        <v>2188</v>
      </c>
    </row>
    <row r="149" spans="2:20" hidden="1">
      <c r="B149" s="25" t="s">
        <v>2406</v>
      </c>
      <c r="C149" s="25" t="s">
        <v>2407</v>
      </c>
      <c r="D149" s="25" t="s">
        <v>2371</v>
      </c>
      <c r="E149" s="25" t="s">
        <v>2408</v>
      </c>
      <c r="F149" s="2" t="s">
        <v>10</v>
      </c>
      <c r="G149" s="2" t="s">
        <v>100</v>
      </c>
      <c r="H149" s="25" t="s">
        <v>54</v>
      </c>
      <c r="I149" s="2" t="s">
        <v>4</v>
      </c>
      <c r="J149" s="2" t="s">
        <v>178</v>
      </c>
      <c r="K149" s="590">
        <v>-6.64682</v>
      </c>
      <c r="L149" s="590">
        <v>106.64558</v>
      </c>
      <c r="M149" s="397" t="s">
        <v>11</v>
      </c>
      <c r="N149" s="2" t="s">
        <v>2459</v>
      </c>
      <c r="O149" s="2" t="s">
        <v>26</v>
      </c>
      <c r="P149" s="2" t="s">
        <v>13</v>
      </c>
      <c r="Q149" s="2" t="s">
        <v>1011</v>
      </c>
      <c r="R149" s="2" t="s">
        <v>2460</v>
      </c>
      <c r="S149" s="2" t="s">
        <v>165</v>
      </c>
      <c r="T149" s="2" t="s">
        <v>2188</v>
      </c>
    </row>
    <row r="150" spans="2:20" hidden="1">
      <c r="B150" s="25" t="s">
        <v>2385</v>
      </c>
      <c r="C150" s="25" t="s">
        <v>2392</v>
      </c>
      <c r="D150" s="25" t="s">
        <v>2393</v>
      </c>
      <c r="E150" s="25" t="s">
        <v>2394</v>
      </c>
      <c r="F150" s="2" t="s">
        <v>10</v>
      </c>
      <c r="G150" s="2" t="s">
        <v>100</v>
      </c>
      <c r="H150" s="2" t="s">
        <v>3</v>
      </c>
      <c r="I150" s="2" t="s">
        <v>4</v>
      </c>
      <c r="J150" s="2" t="s">
        <v>1975</v>
      </c>
      <c r="K150" s="25">
        <v>-6.4319199999999999</v>
      </c>
      <c r="L150" s="25">
        <v>107.07886999999999</v>
      </c>
      <c r="M150" s="397" t="s">
        <v>11</v>
      </c>
      <c r="N150" s="25" t="s">
        <v>2464</v>
      </c>
      <c r="O150" s="2" t="s">
        <v>638</v>
      </c>
      <c r="P150" s="2" t="s">
        <v>13</v>
      </c>
      <c r="Q150" s="2" t="s">
        <v>1024</v>
      </c>
      <c r="R150" s="2" t="s">
        <v>1643</v>
      </c>
      <c r="T150" s="2" t="s">
        <v>2331</v>
      </c>
    </row>
    <row r="151" spans="2:20" hidden="1">
      <c r="B151" s="25" t="s">
        <v>2541</v>
      </c>
      <c r="C151" s="25" t="s">
        <v>2542</v>
      </c>
      <c r="D151" s="25" t="s">
        <v>2433</v>
      </c>
      <c r="E151" s="25" t="s">
        <v>2434</v>
      </c>
      <c r="F151" s="25" t="s">
        <v>10</v>
      </c>
      <c r="G151" s="25" t="s">
        <v>100</v>
      </c>
      <c r="H151" s="2" t="s">
        <v>3</v>
      </c>
      <c r="I151" s="25" t="s">
        <v>4</v>
      </c>
      <c r="J151" s="2" t="s">
        <v>2462</v>
      </c>
      <c r="K151" s="240">
        <v>-6.2869299999999999</v>
      </c>
      <c r="L151" s="240">
        <v>106.80065999999999</v>
      </c>
      <c r="M151" s="397" t="s">
        <v>5</v>
      </c>
      <c r="N151" s="25" t="s">
        <v>2575</v>
      </c>
      <c r="O151" s="2" t="s">
        <v>1079</v>
      </c>
      <c r="P151" s="2" t="s">
        <v>7</v>
      </c>
      <c r="Q151" s="2" t="s">
        <v>2432</v>
      </c>
      <c r="R151" s="2" t="s">
        <v>2576</v>
      </c>
      <c r="T151" s="2" t="s">
        <v>2577</v>
      </c>
    </row>
    <row r="152" spans="2:20" hidden="1">
      <c r="B152" s="599" t="s">
        <v>2478</v>
      </c>
      <c r="C152" s="599" t="s">
        <v>2489</v>
      </c>
      <c r="D152" s="599" t="s">
        <v>2498</v>
      </c>
      <c r="E152" s="599" t="s">
        <v>2509</v>
      </c>
      <c r="F152" s="25" t="s">
        <v>10</v>
      </c>
      <c r="G152" s="25" t="s">
        <v>100</v>
      </c>
      <c r="H152" s="25" t="s">
        <v>54</v>
      </c>
      <c r="I152" s="2" t="s">
        <v>4</v>
      </c>
      <c r="J152" s="2" t="s">
        <v>314</v>
      </c>
      <c r="K152" s="819">
        <v>-6.4704100000000002</v>
      </c>
      <c r="L152" s="819">
        <v>106.7963</v>
      </c>
      <c r="M152" s="397" t="s">
        <v>11</v>
      </c>
      <c r="N152" s="25" t="s">
        <v>2579</v>
      </c>
      <c r="O152" s="2" t="s">
        <v>26</v>
      </c>
      <c r="P152" s="2" t="s">
        <v>13</v>
      </c>
      <c r="Q152" s="2" t="s">
        <v>1024</v>
      </c>
      <c r="R152" s="2" t="s">
        <v>2583</v>
      </c>
      <c r="T152" s="2" t="s">
        <v>2584</v>
      </c>
    </row>
    <row r="153" spans="2:20" hidden="1">
      <c r="B153" s="946" t="s">
        <v>2469</v>
      </c>
      <c r="C153" s="599" t="s">
        <v>2480</v>
      </c>
      <c r="D153" s="599" t="s">
        <v>2490</v>
      </c>
      <c r="E153" s="599" t="s">
        <v>2500</v>
      </c>
      <c r="F153" s="25" t="s">
        <v>10</v>
      </c>
      <c r="G153" s="25" t="s">
        <v>100</v>
      </c>
      <c r="H153" s="25" t="s">
        <v>54</v>
      </c>
      <c r="I153" s="2" t="s">
        <v>4</v>
      </c>
      <c r="J153" s="2" t="s">
        <v>314</v>
      </c>
      <c r="K153" s="25">
        <v>-6.1014900000000001</v>
      </c>
      <c r="L153" s="25">
        <v>106.6643</v>
      </c>
      <c r="M153" s="397" t="s">
        <v>11</v>
      </c>
      <c r="N153" s="25" t="s">
        <v>2586</v>
      </c>
      <c r="O153" s="2" t="s">
        <v>19</v>
      </c>
      <c r="P153" s="2" t="s">
        <v>20</v>
      </c>
      <c r="Q153" s="2" t="s">
        <v>1198</v>
      </c>
      <c r="R153" s="2" t="s">
        <v>1624</v>
      </c>
      <c r="T153" s="2" t="s">
        <v>1616</v>
      </c>
    </row>
    <row r="154" spans="2:20" hidden="1">
      <c r="B154" s="25" t="s">
        <v>2552</v>
      </c>
      <c r="C154" s="25" t="s">
        <v>2553</v>
      </c>
      <c r="D154" s="25" t="s">
        <v>2554</v>
      </c>
      <c r="E154" s="25" t="s">
        <v>2555</v>
      </c>
      <c r="F154" s="25" t="s">
        <v>10</v>
      </c>
      <c r="G154" s="25" t="s">
        <v>100</v>
      </c>
      <c r="H154" s="25" t="s">
        <v>54</v>
      </c>
      <c r="I154" s="2" t="s">
        <v>4</v>
      </c>
      <c r="J154" s="2" t="s">
        <v>316</v>
      </c>
      <c r="K154" s="25">
        <v>-6.3149600000000001</v>
      </c>
      <c r="L154" s="25">
        <v>107.35026000000001</v>
      </c>
      <c r="M154" s="397" t="s">
        <v>11</v>
      </c>
      <c r="N154" s="25" t="s">
        <v>2596</v>
      </c>
      <c r="O154" s="2" t="s">
        <v>763</v>
      </c>
      <c r="P154" s="2" t="s">
        <v>13</v>
      </c>
      <c r="Q154" s="2" t="s">
        <v>1024</v>
      </c>
      <c r="R154" s="2" t="s">
        <v>2189</v>
      </c>
      <c r="T154" s="2" t="s">
        <v>2188</v>
      </c>
    </row>
    <row r="155" spans="2:20" hidden="1">
      <c r="B155" s="25" t="s">
        <v>2348</v>
      </c>
      <c r="C155" s="25" t="s">
        <v>2349</v>
      </c>
      <c r="D155" s="588" t="s">
        <v>2281</v>
      </c>
      <c r="E155" s="588" t="s">
        <v>2282</v>
      </c>
      <c r="F155" s="25" t="s">
        <v>10</v>
      </c>
      <c r="G155" s="25" t="s">
        <v>100</v>
      </c>
      <c r="H155" s="2" t="s">
        <v>3</v>
      </c>
      <c r="I155" s="2" t="s">
        <v>4</v>
      </c>
      <c r="J155" s="2" t="s">
        <v>2338</v>
      </c>
      <c r="K155" s="819">
        <v>-6.1937699999999998</v>
      </c>
      <c r="L155" s="819">
        <v>106.49706999999999</v>
      </c>
      <c r="M155" s="397" t="s">
        <v>11</v>
      </c>
      <c r="N155" s="25" t="s">
        <v>2671</v>
      </c>
      <c r="O155" s="2" t="s">
        <v>19</v>
      </c>
      <c r="P155" s="2" t="s">
        <v>20</v>
      </c>
      <c r="Q155" s="2" t="s">
        <v>2680</v>
      </c>
      <c r="R155" s="2" t="s">
        <v>2189</v>
      </c>
      <c r="T155" s="2" t="s">
        <v>2188</v>
      </c>
    </row>
    <row r="156" spans="2:20" hidden="1">
      <c r="B156" s="599" t="s">
        <v>2479</v>
      </c>
      <c r="C156" s="599">
        <v>1272131023</v>
      </c>
      <c r="D156" s="599" t="s">
        <v>2499</v>
      </c>
      <c r="E156" s="599" t="s">
        <v>2510</v>
      </c>
      <c r="F156" s="25" t="s">
        <v>10</v>
      </c>
      <c r="G156" s="25" t="s">
        <v>100</v>
      </c>
      <c r="H156" s="25" t="s">
        <v>54</v>
      </c>
      <c r="I156" s="2" t="s">
        <v>4</v>
      </c>
      <c r="J156" s="2" t="s">
        <v>314</v>
      </c>
      <c r="K156" s="25">
        <v>-6.88218</v>
      </c>
      <c r="L156" s="25">
        <v>106.66994</v>
      </c>
      <c r="M156" s="397" t="s">
        <v>11</v>
      </c>
      <c r="N156" s="25" t="s">
        <v>2651</v>
      </c>
      <c r="O156" s="2" t="s">
        <v>12</v>
      </c>
      <c r="P156" s="2" t="s">
        <v>13</v>
      </c>
      <c r="Q156" s="2" t="s">
        <v>2681</v>
      </c>
      <c r="R156" s="2" t="s">
        <v>1624</v>
      </c>
      <c r="T156" s="2" t="s">
        <v>1616</v>
      </c>
    </row>
    <row r="157" spans="2:20" hidden="1">
      <c r="D157" s="38" t="s">
        <v>2691</v>
      </c>
      <c r="E157" s="2" t="s">
        <v>2706</v>
      </c>
      <c r="F157" s="25" t="s">
        <v>10</v>
      </c>
      <c r="G157" s="25" t="s">
        <v>100</v>
      </c>
      <c r="H157" s="2" t="s">
        <v>3</v>
      </c>
      <c r="I157" s="2" t="s">
        <v>4</v>
      </c>
      <c r="J157" s="2" t="s">
        <v>1978</v>
      </c>
      <c r="K157" s="240">
        <v>-6.40421</v>
      </c>
      <c r="L157" s="240">
        <v>106.61632</v>
      </c>
      <c r="M157" s="397" t="s">
        <v>11</v>
      </c>
      <c r="N157" s="2" t="s">
        <v>2707</v>
      </c>
      <c r="O157" s="2" t="s">
        <v>26</v>
      </c>
      <c r="P157" s="2" t="s">
        <v>13</v>
      </c>
      <c r="Q157" s="2" t="s">
        <v>1024</v>
      </c>
      <c r="R157" s="2" t="s">
        <v>1624</v>
      </c>
      <c r="T157" s="2" t="s">
        <v>1616</v>
      </c>
    </row>
    <row r="158" spans="2:20" hidden="1">
      <c r="D158" s="2" t="s">
        <v>2676</v>
      </c>
      <c r="E158" s="2" t="s">
        <v>2677</v>
      </c>
      <c r="F158" s="25" t="s">
        <v>10</v>
      </c>
      <c r="G158" s="25" t="s">
        <v>100</v>
      </c>
      <c r="H158" s="2" t="s">
        <v>3</v>
      </c>
      <c r="I158" s="2" t="s">
        <v>4</v>
      </c>
      <c r="J158" s="2" t="s">
        <v>1978</v>
      </c>
      <c r="K158" s="240">
        <v>-6.5275299999999996</v>
      </c>
      <c r="L158" s="240">
        <v>106.22568</v>
      </c>
      <c r="M158" s="397" t="s">
        <v>11</v>
      </c>
      <c r="N158" s="2" t="s">
        <v>2708</v>
      </c>
      <c r="O158" s="2" t="s">
        <v>2212</v>
      </c>
      <c r="P158" s="2" t="s">
        <v>20</v>
      </c>
      <c r="Q158" s="2" t="s">
        <v>2230</v>
      </c>
      <c r="R158" s="2" t="s">
        <v>1643</v>
      </c>
      <c r="T158" s="2" t="s">
        <v>2331</v>
      </c>
    </row>
    <row r="159" spans="2:20" hidden="1">
      <c r="D159" s="2" t="s">
        <v>2673</v>
      </c>
      <c r="E159" s="2" t="s">
        <v>2674</v>
      </c>
      <c r="F159" s="25" t="s">
        <v>10</v>
      </c>
      <c r="G159" s="25" t="s">
        <v>100</v>
      </c>
      <c r="H159" s="2" t="s">
        <v>3</v>
      </c>
      <c r="I159" s="2" t="s">
        <v>4</v>
      </c>
      <c r="J159" s="2" t="s">
        <v>1978</v>
      </c>
      <c r="K159" s="240">
        <v>-6.2779999999999996</v>
      </c>
      <c r="L159" s="240">
        <v>106.16816</v>
      </c>
      <c r="M159" s="397" t="s">
        <v>11</v>
      </c>
      <c r="N159" s="2" t="s">
        <v>2709</v>
      </c>
      <c r="O159" s="2" t="s">
        <v>2675</v>
      </c>
      <c r="P159" s="2" t="s">
        <v>20</v>
      </c>
      <c r="Q159" s="2" t="s">
        <v>1011</v>
      </c>
      <c r="R159" s="2" t="s">
        <v>1643</v>
      </c>
      <c r="T159" s="2" t="s">
        <v>2331</v>
      </c>
    </row>
    <row r="160" spans="2:20" hidden="1">
      <c r="D160" s="2" t="s">
        <v>2678</v>
      </c>
      <c r="E160" s="2" t="s">
        <v>2679</v>
      </c>
      <c r="F160" s="25" t="s">
        <v>10</v>
      </c>
      <c r="G160" s="25" t="s">
        <v>100</v>
      </c>
      <c r="H160" s="2" t="s">
        <v>3</v>
      </c>
      <c r="I160" s="2" t="s">
        <v>4</v>
      </c>
      <c r="J160" s="2" t="s">
        <v>2162</v>
      </c>
      <c r="K160" s="240">
        <v>-6.0893499999999996</v>
      </c>
      <c r="L160" s="240">
        <v>106.38714</v>
      </c>
      <c r="M160" s="397" t="s">
        <v>11</v>
      </c>
      <c r="N160" s="2" t="s">
        <v>2716</v>
      </c>
      <c r="O160" s="2" t="s">
        <v>19</v>
      </c>
      <c r="P160" s="2" t="s">
        <v>20</v>
      </c>
      <c r="Q160" s="2" t="s">
        <v>1024</v>
      </c>
      <c r="R160" s="2" t="s">
        <v>2720</v>
      </c>
      <c r="T160" s="2" t="s">
        <v>2717</v>
      </c>
    </row>
    <row r="161" spans="2:20" hidden="1">
      <c r="D161" s="2" t="s">
        <v>2687</v>
      </c>
      <c r="E161" s="2" t="s">
        <v>2688</v>
      </c>
      <c r="F161" s="25" t="s">
        <v>10</v>
      </c>
      <c r="G161" s="25" t="s">
        <v>100</v>
      </c>
      <c r="H161" s="2" t="s">
        <v>3</v>
      </c>
      <c r="I161" s="2" t="s">
        <v>4</v>
      </c>
      <c r="J161" s="2" t="s">
        <v>1978</v>
      </c>
      <c r="K161" s="240">
        <v>-6.1927700000000003</v>
      </c>
      <c r="L161" s="240">
        <v>107.52561</v>
      </c>
      <c r="M161" s="397" t="s">
        <v>11</v>
      </c>
      <c r="N161" s="2" t="s">
        <v>2718</v>
      </c>
      <c r="O161" s="2" t="s">
        <v>763</v>
      </c>
      <c r="P161" s="2" t="s">
        <v>13</v>
      </c>
      <c r="Q161" s="2" t="s">
        <v>1011</v>
      </c>
      <c r="R161" s="2" t="s">
        <v>2719</v>
      </c>
      <c r="T161" s="2" t="s">
        <v>2188</v>
      </c>
    </row>
    <row r="162" spans="2:20" hidden="1">
      <c r="B162" s="25" t="s">
        <v>2725</v>
      </c>
      <c r="C162" s="25" t="s">
        <v>2746</v>
      </c>
      <c r="D162" s="25" t="s">
        <v>2665</v>
      </c>
      <c r="E162" s="25" t="s">
        <v>2661</v>
      </c>
      <c r="F162" s="25" t="s">
        <v>10</v>
      </c>
      <c r="G162" s="25" t="s">
        <v>100</v>
      </c>
      <c r="H162" s="2" t="s">
        <v>3</v>
      </c>
      <c r="I162" s="2" t="s">
        <v>4</v>
      </c>
      <c r="J162" s="25" t="s">
        <v>1978</v>
      </c>
      <c r="K162" s="25">
        <v>-6.5473800000000004</v>
      </c>
      <c r="L162" s="25">
        <v>106.7873</v>
      </c>
      <c r="M162" s="397" t="s">
        <v>11</v>
      </c>
      <c r="N162" s="2" t="s">
        <v>2869</v>
      </c>
      <c r="O162" s="2" t="s">
        <v>659</v>
      </c>
      <c r="P162" s="2" t="s">
        <v>13</v>
      </c>
      <c r="Q162" s="2" t="s">
        <v>1024</v>
      </c>
      <c r="R162" s="2" t="s">
        <v>2871</v>
      </c>
      <c r="T162" s="2" t="s">
        <v>2870</v>
      </c>
    </row>
    <row r="163" spans="2:20" hidden="1">
      <c r="B163" s="25" t="s">
        <v>2728</v>
      </c>
      <c r="C163" s="25" t="s">
        <v>2749</v>
      </c>
      <c r="D163" s="25" t="s">
        <v>2666</v>
      </c>
      <c r="E163" s="25" t="s">
        <v>2662</v>
      </c>
      <c r="F163" s="25" t="s">
        <v>10</v>
      </c>
      <c r="G163" s="25" t="s">
        <v>100</v>
      </c>
      <c r="H163" s="2" t="s">
        <v>3</v>
      </c>
      <c r="I163" s="2" t="s">
        <v>4</v>
      </c>
      <c r="J163" s="25" t="s">
        <v>1978</v>
      </c>
      <c r="K163" s="25">
        <v>-6.32951</v>
      </c>
      <c r="L163" s="25">
        <v>106.51725999999999</v>
      </c>
      <c r="M163" s="397" t="s">
        <v>11</v>
      </c>
      <c r="N163" s="2" t="s">
        <v>2872</v>
      </c>
      <c r="O163" s="2" t="s">
        <v>26</v>
      </c>
      <c r="P163" s="2" t="s">
        <v>13</v>
      </c>
      <c r="Q163" s="2" t="s">
        <v>2230</v>
      </c>
      <c r="R163" s="2" t="s">
        <v>1624</v>
      </c>
      <c r="T163" s="2" t="s">
        <v>1616</v>
      </c>
    </row>
    <row r="164" spans="2:20" hidden="1">
      <c r="B164" s="25" t="s">
        <v>2732</v>
      </c>
      <c r="C164" s="25" t="s">
        <v>2753</v>
      </c>
      <c r="D164" s="25" t="s">
        <v>2710</v>
      </c>
      <c r="E164" s="25" t="s">
        <v>2711</v>
      </c>
      <c r="F164" s="25" t="s">
        <v>10</v>
      </c>
      <c r="G164" s="25" t="s">
        <v>100</v>
      </c>
      <c r="H164" s="2" t="s">
        <v>3</v>
      </c>
      <c r="I164" s="2" t="s">
        <v>4</v>
      </c>
      <c r="J164" s="819" t="s">
        <v>1978</v>
      </c>
      <c r="K164" s="819">
        <v>-6.2897299999999996</v>
      </c>
      <c r="L164" s="819">
        <v>106.40245</v>
      </c>
      <c r="M164" s="397" t="s">
        <v>11</v>
      </c>
      <c r="N164" s="25" t="s">
        <v>2878</v>
      </c>
      <c r="O164" s="2" t="s">
        <v>19</v>
      </c>
      <c r="P164" s="2" t="s">
        <v>20</v>
      </c>
      <c r="Q164" s="2" t="s">
        <v>1011</v>
      </c>
      <c r="R164" s="2" t="s">
        <v>2881</v>
      </c>
      <c r="T164" s="2" t="s">
        <v>2882</v>
      </c>
    </row>
    <row r="165" spans="2:20" hidden="1">
      <c r="B165" s="25" t="s">
        <v>2734</v>
      </c>
      <c r="C165" s="25" t="s">
        <v>2755</v>
      </c>
      <c r="D165" s="25" t="s">
        <v>2703</v>
      </c>
      <c r="E165" s="25" t="s">
        <v>2704</v>
      </c>
      <c r="F165" s="25" t="s">
        <v>10</v>
      </c>
      <c r="G165" s="25" t="s">
        <v>100</v>
      </c>
      <c r="H165" s="2" t="s">
        <v>3</v>
      </c>
      <c r="I165" s="2" t="s">
        <v>4</v>
      </c>
      <c r="J165" s="25" t="s">
        <v>1978</v>
      </c>
      <c r="K165" s="819">
        <v>-6.1010299999999997</v>
      </c>
      <c r="L165" s="819">
        <v>106.5318</v>
      </c>
      <c r="M165" s="397" t="s">
        <v>11</v>
      </c>
      <c r="N165" s="25" t="s">
        <v>2879</v>
      </c>
      <c r="O165" s="2" t="s">
        <v>19</v>
      </c>
      <c r="P165" s="2" t="s">
        <v>20</v>
      </c>
      <c r="Q165" s="2" t="s">
        <v>1011</v>
      </c>
      <c r="R165" s="2" t="s">
        <v>2881</v>
      </c>
      <c r="T165" s="2" t="s">
        <v>2882</v>
      </c>
    </row>
    <row r="166" spans="2:20" hidden="1">
      <c r="B166" s="25" t="s">
        <v>2738</v>
      </c>
      <c r="C166" s="25" t="s">
        <v>2759</v>
      </c>
      <c r="D166" s="25" t="s">
        <v>2669</v>
      </c>
      <c r="E166" s="25" t="s">
        <v>2670</v>
      </c>
      <c r="F166" s="25" t="s">
        <v>10</v>
      </c>
      <c r="G166" s="25" t="s">
        <v>100</v>
      </c>
      <c r="H166" s="2" t="s">
        <v>3</v>
      </c>
      <c r="I166" s="2" t="s">
        <v>4</v>
      </c>
      <c r="J166" s="25" t="s">
        <v>1978</v>
      </c>
      <c r="K166" s="819">
        <v>-6.2499900000000004</v>
      </c>
      <c r="L166" s="819">
        <v>106.34715</v>
      </c>
      <c r="M166" s="397" t="s">
        <v>11</v>
      </c>
      <c r="N166" s="25" t="s">
        <v>2877</v>
      </c>
      <c r="O166" s="2" t="s">
        <v>772</v>
      </c>
      <c r="P166" s="2" t="s">
        <v>20</v>
      </c>
      <c r="Q166" s="2" t="s">
        <v>1011</v>
      </c>
      <c r="R166" s="2" t="s">
        <v>2880</v>
      </c>
      <c r="T166" s="2" t="s">
        <v>2883</v>
      </c>
    </row>
    <row r="167" spans="2:20" hidden="1">
      <c r="B167" s="25" t="s">
        <v>2601</v>
      </c>
      <c r="C167" s="25" t="s">
        <v>2605</v>
      </c>
      <c r="D167" s="25" t="s">
        <v>2573</v>
      </c>
      <c r="E167" s="25" t="s">
        <v>2574</v>
      </c>
      <c r="F167" s="25" t="s">
        <v>10</v>
      </c>
      <c r="G167" s="25" t="s">
        <v>100</v>
      </c>
      <c r="H167" s="2" t="s">
        <v>3</v>
      </c>
      <c r="I167" s="2" t="s">
        <v>216</v>
      </c>
      <c r="J167" s="2" t="s">
        <v>2295</v>
      </c>
      <c r="K167" s="240">
        <v>-6.3199699999999996</v>
      </c>
      <c r="L167" s="240">
        <v>106.87302</v>
      </c>
      <c r="M167" s="2" t="s">
        <v>5</v>
      </c>
      <c r="N167" s="2" t="s">
        <v>2893</v>
      </c>
      <c r="O167" s="2" t="s">
        <v>35</v>
      </c>
      <c r="P167" s="2" t="s">
        <v>7</v>
      </c>
      <c r="Q167" s="2" t="s">
        <v>2894</v>
      </c>
      <c r="R167" s="2" t="s">
        <v>2583</v>
      </c>
      <c r="T167" s="2" t="s">
        <v>2584</v>
      </c>
    </row>
    <row r="168" spans="2:20" hidden="1">
      <c r="D168" s="865" t="s">
        <v>2940</v>
      </c>
      <c r="E168" s="865" t="s">
        <v>2861</v>
      </c>
      <c r="F168" s="25" t="s">
        <v>10</v>
      </c>
      <c r="G168" s="25" t="s">
        <v>100</v>
      </c>
      <c r="H168" s="2" t="s">
        <v>3</v>
      </c>
      <c r="I168" s="2" t="s">
        <v>4</v>
      </c>
      <c r="J168" s="2" t="s">
        <v>1978</v>
      </c>
      <c r="K168" s="240">
        <v>-6.8861800000000004</v>
      </c>
      <c r="L168" s="240">
        <v>106.94962</v>
      </c>
      <c r="M168" s="397" t="s">
        <v>11</v>
      </c>
      <c r="N168" s="2" t="s">
        <v>2897</v>
      </c>
      <c r="O168" s="2" t="s">
        <v>12</v>
      </c>
      <c r="P168" s="2" t="s">
        <v>13</v>
      </c>
      <c r="Q168" s="2" t="s">
        <v>1011</v>
      </c>
      <c r="R168" s="2" t="s">
        <v>1624</v>
      </c>
      <c r="T168" s="2" t="s">
        <v>1616</v>
      </c>
    </row>
    <row r="169" spans="2:20" hidden="1">
      <c r="B169" s="25" t="s">
        <v>2726</v>
      </c>
      <c r="C169" s="25" t="s">
        <v>2747</v>
      </c>
      <c r="D169" s="562" t="s">
        <v>2712</v>
      </c>
      <c r="E169" s="562" t="s">
        <v>2713</v>
      </c>
      <c r="F169" s="25" t="s">
        <v>10</v>
      </c>
      <c r="G169" s="25" t="s">
        <v>100</v>
      </c>
      <c r="H169" s="2" t="s">
        <v>3</v>
      </c>
      <c r="I169" s="2" t="s">
        <v>4</v>
      </c>
      <c r="J169" s="2" t="s">
        <v>1978</v>
      </c>
      <c r="K169" s="240">
        <v>-6.4120699999999999</v>
      </c>
      <c r="L169" s="240">
        <v>107.05146000000001</v>
      </c>
      <c r="M169" s="397" t="s">
        <v>11</v>
      </c>
      <c r="N169" s="2" t="s">
        <v>2957</v>
      </c>
      <c r="O169" s="2" t="s">
        <v>26</v>
      </c>
      <c r="P169" s="2" t="s">
        <v>13</v>
      </c>
      <c r="Q169" s="2" t="s">
        <v>1011</v>
      </c>
      <c r="R169" s="2" t="s">
        <v>1624</v>
      </c>
      <c r="T169" s="2" t="s">
        <v>1616</v>
      </c>
    </row>
    <row r="170" spans="2:20" hidden="1">
      <c r="B170" s="25" t="s">
        <v>2727</v>
      </c>
      <c r="C170" s="25" t="s">
        <v>2748</v>
      </c>
      <c r="D170" s="562" t="s">
        <v>2689</v>
      </c>
      <c r="E170" s="562" t="s">
        <v>2765</v>
      </c>
      <c r="F170" s="25" t="s">
        <v>10</v>
      </c>
      <c r="G170" s="25" t="s">
        <v>100</v>
      </c>
      <c r="H170" s="2" t="s">
        <v>3</v>
      </c>
      <c r="I170" s="2" t="s">
        <v>4</v>
      </c>
      <c r="J170" s="25" t="s">
        <v>1978</v>
      </c>
      <c r="K170" s="819">
        <v>-6.2700899999999997</v>
      </c>
      <c r="L170" s="819">
        <v>107.54675</v>
      </c>
      <c r="M170" s="397" t="s">
        <v>11</v>
      </c>
      <c r="N170" s="25" t="s">
        <v>2961</v>
      </c>
      <c r="O170" s="2" t="s">
        <v>763</v>
      </c>
      <c r="P170" s="2" t="s">
        <v>13</v>
      </c>
      <c r="Q170" s="2" t="s">
        <v>1011</v>
      </c>
      <c r="R170" s="2" t="s">
        <v>2719</v>
      </c>
      <c r="T170" s="2" t="s">
        <v>2188</v>
      </c>
    </row>
    <row r="171" spans="2:20" hidden="1">
      <c r="B171" s="25" t="s">
        <v>2737</v>
      </c>
      <c r="C171" s="25" t="s">
        <v>2758</v>
      </c>
      <c r="D171" s="562" t="s">
        <v>2684</v>
      </c>
      <c r="E171" s="562" t="s">
        <v>2685</v>
      </c>
      <c r="F171" s="25" t="s">
        <v>10</v>
      </c>
      <c r="G171" s="25" t="s">
        <v>100</v>
      </c>
      <c r="H171" s="2" t="s">
        <v>3</v>
      </c>
      <c r="I171" s="2" t="s">
        <v>4</v>
      </c>
      <c r="J171" s="25" t="s">
        <v>2295</v>
      </c>
      <c r="K171" s="819">
        <v>-6.2445500000000003</v>
      </c>
      <c r="L171" s="819">
        <v>107.29841999999999</v>
      </c>
      <c r="M171" s="397" t="s">
        <v>11</v>
      </c>
      <c r="N171" s="25" t="s">
        <v>2963</v>
      </c>
      <c r="O171" s="2" t="s">
        <v>763</v>
      </c>
      <c r="P171" s="2" t="s">
        <v>13</v>
      </c>
      <c r="Q171" s="2" t="s">
        <v>1011</v>
      </c>
      <c r="R171" s="2" t="s">
        <v>2719</v>
      </c>
      <c r="T171" s="2" t="s">
        <v>2188</v>
      </c>
    </row>
    <row r="172" spans="2:20" hidden="1">
      <c r="B172" s="25" t="s">
        <v>2739</v>
      </c>
      <c r="C172" s="25" t="s">
        <v>2760</v>
      </c>
      <c r="D172" s="562" t="s">
        <v>2664</v>
      </c>
      <c r="E172" s="562" t="s">
        <v>2663</v>
      </c>
      <c r="F172" s="25" t="s">
        <v>10</v>
      </c>
      <c r="G172" s="25" t="s">
        <v>100</v>
      </c>
      <c r="H172" s="2" t="s">
        <v>3</v>
      </c>
      <c r="I172" s="2" t="s">
        <v>4</v>
      </c>
      <c r="J172" s="25" t="s">
        <v>1975</v>
      </c>
      <c r="K172" s="819">
        <v>-6.0472299999999999</v>
      </c>
      <c r="L172" s="819">
        <v>106.40222</v>
      </c>
      <c r="M172" s="397" t="s">
        <v>11</v>
      </c>
      <c r="N172" s="25" t="s">
        <v>2905</v>
      </c>
      <c r="O172" s="2" t="s">
        <v>19</v>
      </c>
      <c r="P172" s="2" t="s">
        <v>20</v>
      </c>
      <c r="Q172" s="25" t="s">
        <v>2230</v>
      </c>
      <c r="R172" s="2" t="s">
        <v>2720</v>
      </c>
      <c r="T172" s="2" t="s">
        <v>2717</v>
      </c>
    </row>
    <row r="173" spans="2:20" hidden="1">
      <c r="B173" s="25" t="s">
        <v>2740</v>
      </c>
      <c r="C173" s="25" t="s">
        <v>2761</v>
      </c>
      <c r="D173" s="562" t="s">
        <v>2686</v>
      </c>
      <c r="E173" s="562" t="s">
        <v>2766</v>
      </c>
      <c r="F173" s="25" t="s">
        <v>10</v>
      </c>
      <c r="G173" s="25" t="s">
        <v>100</v>
      </c>
      <c r="H173" s="2" t="s">
        <v>3</v>
      </c>
      <c r="I173" s="2" t="s">
        <v>4</v>
      </c>
      <c r="J173" s="25" t="s">
        <v>2162</v>
      </c>
      <c r="K173" s="819">
        <v>-6.3483599999999996</v>
      </c>
      <c r="L173" s="819">
        <v>107.35751</v>
      </c>
      <c r="M173" s="397" t="s">
        <v>11</v>
      </c>
      <c r="N173" s="25" t="s">
        <v>2962</v>
      </c>
      <c r="O173" s="2" t="s">
        <v>763</v>
      </c>
      <c r="P173" s="2" t="s">
        <v>13</v>
      </c>
      <c r="Q173" s="25" t="s">
        <v>1024</v>
      </c>
      <c r="R173" s="2" t="s">
        <v>2719</v>
      </c>
      <c r="T173" s="2" t="s">
        <v>2188</v>
      </c>
    </row>
    <row r="174" spans="2:20" hidden="1">
      <c r="B174" s="25" t="s">
        <v>2653</v>
      </c>
      <c r="C174" s="25" t="s">
        <v>2654</v>
      </c>
      <c r="D174" s="396" t="s">
        <v>2655</v>
      </c>
      <c r="E174" s="25" t="s">
        <v>2656</v>
      </c>
      <c r="F174" s="25" t="s">
        <v>10</v>
      </c>
      <c r="G174" s="25" t="s">
        <v>100</v>
      </c>
      <c r="H174" s="25" t="s">
        <v>54</v>
      </c>
      <c r="I174" s="2" t="s">
        <v>216</v>
      </c>
      <c r="J174" s="2" t="s">
        <v>178</v>
      </c>
      <c r="K174" s="25">
        <v>-6.5633400000000002</v>
      </c>
      <c r="L174" s="25">
        <v>106.63327</v>
      </c>
      <c r="M174" s="397" t="s">
        <v>11</v>
      </c>
      <c r="N174" s="25" t="s">
        <v>3039</v>
      </c>
      <c r="O174" s="2" t="s">
        <v>26</v>
      </c>
      <c r="P174" s="2" t="s">
        <v>13</v>
      </c>
      <c r="Q174" s="25" t="s">
        <v>2230</v>
      </c>
      <c r="R174" s="2" t="s">
        <v>2719</v>
      </c>
      <c r="T174" s="2" t="s">
        <v>2567</v>
      </c>
    </row>
    <row r="175" spans="2:20" hidden="1">
      <c r="B175" s="25" t="s">
        <v>3003</v>
      </c>
      <c r="C175" s="25" t="s">
        <v>3002</v>
      </c>
      <c r="D175" s="562" t="s">
        <v>2920</v>
      </c>
      <c r="E175" s="588" t="s">
        <v>2921</v>
      </c>
      <c r="F175" s="25" t="s">
        <v>10</v>
      </c>
      <c r="G175" s="25" t="s">
        <v>100</v>
      </c>
      <c r="H175" s="2" t="s">
        <v>3</v>
      </c>
      <c r="I175" s="2" t="s">
        <v>4</v>
      </c>
      <c r="J175" s="2" t="s">
        <v>1978</v>
      </c>
      <c r="K175" s="25">
        <v>-6.3567</v>
      </c>
      <c r="L175" s="25">
        <v>106.62048</v>
      </c>
      <c r="M175" s="397" t="s">
        <v>11</v>
      </c>
      <c r="N175" s="25" t="s">
        <v>3038</v>
      </c>
      <c r="O175" s="2" t="s">
        <v>19</v>
      </c>
      <c r="P175" s="2" t="s">
        <v>20</v>
      </c>
      <c r="Q175" s="2" t="s">
        <v>1024</v>
      </c>
      <c r="R175" s="2" t="s">
        <v>1694</v>
      </c>
      <c r="T175" s="2" t="s">
        <v>2318</v>
      </c>
    </row>
    <row r="176" spans="2:20" hidden="1">
      <c r="B176" s="25" t="s">
        <v>2997</v>
      </c>
      <c r="C176" s="25" t="s">
        <v>2998</v>
      </c>
      <c r="D176" s="562" t="s">
        <v>2912</v>
      </c>
      <c r="E176" s="588" t="s">
        <v>2913</v>
      </c>
      <c r="F176" s="25" t="s">
        <v>10</v>
      </c>
      <c r="G176" s="25" t="s">
        <v>100</v>
      </c>
      <c r="H176" s="2" t="s">
        <v>3</v>
      </c>
      <c r="I176" s="2" t="s">
        <v>4</v>
      </c>
      <c r="J176" s="25" t="s">
        <v>1978</v>
      </c>
      <c r="K176" s="819">
        <v>-6.37791</v>
      </c>
      <c r="L176" s="819">
        <v>106.63679999999999</v>
      </c>
      <c r="M176" s="397" t="s">
        <v>11</v>
      </c>
      <c r="N176" s="25" t="s">
        <v>3389</v>
      </c>
      <c r="O176" s="2" t="s">
        <v>26</v>
      </c>
      <c r="P176" s="2" t="s">
        <v>13</v>
      </c>
      <c r="Q176" s="2" t="s">
        <v>1024</v>
      </c>
      <c r="R176" s="2" t="s">
        <v>2880</v>
      </c>
      <c r="T176" s="2" t="s">
        <v>3082</v>
      </c>
    </row>
    <row r="177" spans="2:20" hidden="1">
      <c r="B177" s="25" t="s">
        <v>3017</v>
      </c>
      <c r="C177" s="25" t="s">
        <v>3018</v>
      </c>
      <c r="D177" s="562" t="s">
        <v>2918</v>
      </c>
      <c r="E177" s="588" t="s">
        <v>2919</v>
      </c>
      <c r="F177" s="25" t="s">
        <v>10</v>
      </c>
      <c r="G177" s="25" t="s">
        <v>100</v>
      </c>
      <c r="H177" s="2" t="s">
        <v>3</v>
      </c>
      <c r="I177" s="2" t="s">
        <v>4</v>
      </c>
      <c r="J177" s="25" t="s">
        <v>1978</v>
      </c>
      <c r="K177" s="787">
        <v>107.15038</v>
      </c>
      <c r="L177" s="25">
        <v>-6.3925700000000001</v>
      </c>
      <c r="M177" s="397" t="s">
        <v>11</v>
      </c>
      <c r="N177" s="25" t="s">
        <v>3078</v>
      </c>
      <c r="O177" s="2" t="s">
        <v>638</v>
      </c>
      <c r="P177" s="2" t="s">
        <v>13</v>
      </c>
      <c r="Q177" s="2" t="s">
        <v>1024</v>
      </c>
      <c r="R177" s="2" t="s">
        <v>3084</v>
      </c>
      <c r="T177" s="2" t="s">
        <v>3083</v>
      </c>
    </row>
    <row r="178" spans="2:20" hidden="1">
      <c r="B178" s="25" t="s">
        <v>2741</v>
      </c>
      <c r="C178" s="25" t="s">
        <v>2762</v>
      </c>
      <c r="D178" s="562" t="s">
        <v>2700</v>
      </c>
      <c r="E178" s="562" t="s">
        <v>2701</v>
      </c>
      <c r="F178" s="25" t="s">
        <v>10</v>
      </c>
      <c r="G178" s="25" t="s">
        <v>100</v>
      </c>
      <c r="H178" s="2" t="s">
        <v>3</v>
      </c>
      <c r="I178" s="2" t="s">
        <v>4</v>
      </c>
      <c r="J178" s="25" t="s">
        <v>2295</v>
      </c>
      <c r="K178" s="556">
        <v>-7.2471100000000002</v>
      </c>
      <c r="L178" s="556">
        <v>106.62452</v>
      </c>
      <c r="M178" s="397" t="s">
        <v>11</v>
      </c>
      <c r="N178" s="25" t="s">
        <v>3172</v>
      </c>
      <c r="O178" s="25" t="s">
        <v>12</v>
      </c>
      <c r="P178" s="25" t="s">
        <v>13</v>
      </c>
      <c r="Q178" s="2" t="s">
        <v>1011</v>
      </c>
      <c r="R178" s="2" t="s">
        <v>1624</v>
      </c>
      <c r="T178" s="2" t="s">
        <v>2072</v>
      </c>
    </row>
    <row r="179" spans="2:20" hidden="1">
      <c r="B179" s="25" t="s">
        <v>3008</v>
      </c>
      <c r="C179" s="25" t="s">
        <v>3007</v>
      </c>
      <c r="D179" s="562" t="s">
        <v>2914</v>
      </c>
      <c r="E179" s="588" t="s">
        <v>2915</v>
      </c>
      <c r="F179" s="25" t="s">
        <v>10</v>
      </c>
      <c r="G179" s="25" t="s">
        <v>100</v>
      </c>
      <c r="H179" s="2" t="s">
        <v>3</v>
      </c>
      <c r="I179" s="2" t="s">
        <v>4</v>
      </c>
      <c r="J179" s="2" t="s">
        <v>1978</v>
      </c>
      <c r="K179" s="25">
        <v>-6.2763499999999999</v>
      </c>
      <c r="L179" s="25">
        <v>106.53189</v>
      </c>
      <c r="M179" s="397" t="s">
        <v>11</v>
      </c>
      <c r="N179" s="25" t="s">
        <v>3191</v>
      </c>
      <c r="O179" s="2" t="s">
        <v>19</v>
      </c>
      <c r="P179" s="2" t="s">
        <v>20</v>
      </c>
      <c r="Q179" s="2" t="s">
        <v>1024</v>
      </c>
      <c r="R179" s="2" t="s">
        <v>1694</v>
      </c>
      <c r="T179" s="2" t="s">
        <v>2421</v>
      </c>
    </row>
    <row r="180" spans="2:20" hidden="1">
      <c r="B180" s="25" t="s">
        <v>2949</v>
      </c>
      <c r="C180" s="25" t="s">
        <v>2950</v>
      </c>
      <c r="D180" s="25" t="s">
        <v>2951</v>
      </c>
      <c r="E180" s="25" t="s">
        <v>2952</v>
      </c>
      <c r="F180" s="25" t="s">
        <v>10</v>
      </c>
      <c r="G180" s="25" t="s">
        <v>100</v>
      </c>
      <c r="H180" s="25" t="s">
        <v>54</v>
      </c>
      <c r="I180" s="2" t="s">
        <v>4</v>
      </c>
      <c r="J180" s="25" t="s">
        <v>316</v>
      </c>
      <c r="K180" s="25">
        <v>-6.4549599999999998</v>
      </c>
      <c r="L180" s="25">
        <v>106.79745</v>
      </c>
      <c r="M180" s="397" t="s">
        <v>11</v>
      </c>
      <c r="N180" s="25" t="s">
        <v>3262</v>
      </c>
      <c r="O180" s="2" t="s">
        <v>26</v>
      </c>
      <c r="P180" s="25" t="s">
        <v>13</v>
      </c>
      <c r="Q180" s="2" t="s">
        <v>1024</v>
      </c>
      <c r="R180" s="2" t="s">
        <v>1624</v>
      </c>
      <c r="T180" s="2" t="s">
        <v>1616</v>
      </c>
    </row>
    <row r="181" spans="2:20" hidden="1">
      <c r="B181" s="25" t="s">
        <v>2982</v>
      </c>
      <c r="C181" s="25" t="s">
        <v>2983</v>
      </c>
      <c r="D181" s="25" t="s">
        <v>2910</v>
      </c>
      <c r="E181" s="25" t="s">
        <v>2911</v>
      </c>
      <c r="F181" s="25" t="s">
        <v>10</v>
      </c>
      <c r="G181" s="25" t="s">
        <v>100</v>
      </c>
      <c r="H181" s="2" t="s">
        <v>3</v>
      </c>
      <c r="I181" s="2" t="s">
        <v>4</v>
      </c>
      <c r="J181" s="25" t="s">
        <v>2162</v>
      </c>
      <c r="K181" s="866">
        <v>-6.2304899999999996</v>
      </c>
      <c r="L181" s="866">
        <v>107.26519999999999</v>
      </c>
      <c r="M181" s="397" t="s">
        <v>11</v>
      </c>
      <c r="N181" s="25" t="s">
        <v>3263</v>
      </c>
      <c r="O181" s="2" t="s">
        <v>638</v>
      </c>
      <c r="P181" s="25" t="s">
        <v>13</v>
      </c>
      <c r="Q181" s="2" t="s">
        <v>1024</v>
      </c>
      <c r="R181" s="2" t="s">
        <v>1505</v>
      </c>
      <c r="T181" s="2" t="s">
        <v>2427</v>
      </c>
    </row>
    <row r="182" spans="2:20" hidden="1">
      <c r="B182" s="864" t="s">
        <v>3042</v>
      </c>
      <c r="C182" s="864" t="s">
        <v>3043</v>
      </c>
      <c r="D182" s="865" t="s">
        <v>2863</v>
      </c>
      <c r="E182" s="865" t="s">
        <v>2862</v>
      </c>
      <c r="F182" s="25" t="s">
        <v>10</v>
      </c>
      <c r="G182" s="25" t="s">
        <v>100</v>
      </c>
      <c r="H182" s="2" t="s">
        <v>3</v>
      </c>
      <c r="I182" s="2" t="s">
        <v>4</v>
      </c>
      <c r="J182" s="25" t="s">
        <v>2162</v>
      </c>
      <c r="K182" s="556">
        <v>-6.2487000000000004</v>
      </c>
      <c r="L182" s="556">
        <v>107.12621</v>
      </c>
      <c r="M182" s="397" t="s">
        <v>11</v>
      </c>
      <c r="N182" s="25" t="s">
        <v>3264</v>
      </c>
      <c r="O182" s="2" t="s">
        <v>638</v>
      </c>
      <c r="P182" s="25" t="s">
        <v>13</v>
      </c>
      <c r="Q182" s="2" t="s">
        <v>1011</v>
      </c>
      <c r="R182" s="2" t="s">
        <v>3266</v>
      </c>
      <c r="T182" s="2" t="s">
        <v>3265</v>
      </c>
    </row>
    <row r="183" spans="2:20" hidden="1">
      <c r="B183" s="25" t="s">
        <v>2972</v>
      </c>
      <c r="C183" s="25" t="s">
        <v>2973</v>
      </c>
      <c r="D183" s="562" t="s">
        <v>2859</v>
      </c>
      <c r="E183" s="588" t="s">
        <v>2860</v>
      </c>
      <c r="F183" s="25" t="s">
        <v>10</v>
      </c>
      <c r="G183" s="25" t="s">
        <v>100</v>
      </c>
      <c r="H183" s="2" t="s">
        <v>3</v>
      </c>
      <c r="I183" s="2" t="s">
        <v>4</v>
      </c>
      <c r="J183" s="2" t="s">
        <v>2295</v>
      </c>
      <c r="K183" s="556">
        <v>-6.5344199999999999</v>
      </c>
      <c r="L183" s="556">
        <v>106.78708</v>
      </c>
      <c r="M183" s="397" t="s">
        <v>11</v>
      </c>
      <c r="N183" s="25" t="s">
        <v>3294</v>
      </c>
      <c r="O183" s="2" t="s">
        <v>659</v>
      </c>
      <c r="P183" s="25" t="s">
        <v>13</v>
      </c>
      <c r="Q183" s="2" t="s">
        <v>1024</v>
      </c>
      <c r="R183" s="2" t="s">
        <v>2880</v>
      </c>
      <c r="T183" s="2" t="s">
        <v>2883</v>
      </c>
    </row>
    <row r="184" spans="2:20" hidden="1">
      <c r="B184" s="25" t="s">
        <v>2841</v>
      </c>
      <c r="C184" s="25" t="s">
        <v>2843</v>
      </c>
      <c r="D184" s="25" t="s">
        <v>2844</v>
      </c>
      <c r="E184" s="25" t="s">
        <v>2845</v>
      </c>
      <c r="F184" s="25" t="s">
        <v>10</v>
      </c>
      <c r="G184" s="25" t="s">
        <v>100</v>
      </c>
      <c r="H184" s="25" t="s">
        <v>54</v>
      </c>
      <c r="I184" s="2" t="s">
        <v>4</v>
      </c>
      <c r="J184" s="2" t="s">
        <v>178</v>
      </c>
      <c r="K184" s="25">
        <v>-6.2167899999999996</v>
      </c>
      <c r="L184" s="25">
        <v>106.41227000000001</v>
      </c>
      <c r="M184" s="397" t="s">
        <v>11</v>
      </c>
      <c r="N184" s="2" t="s">
        <v>3297</v>
      </c>
      <c r="O184" s="2" t="s">
        <v>19</v>
      </c>
      <c r="P184" s="2" t="s">
        <v>20</v>
      </c>
      <c r="Q184" s="2" t="s">
        <v>1024</v>
      </c>
      <c r="R184" s="2" t="s">
        <v>3295</v>
      </c>
      <c r="T184" s="2" t="s">
        <v>3296</v>
      </c>
    </row>
    <row r="185" spans="2:20" hidden="1">
      <c r="B185" s="25" t="s">
        <v>2722</v>
      </c>
      <c r="C185" s="25" t="s">
        <v>2743</v>
      </c>
      <c r="D185" s="562" t="s">
        <v>2682</v>
      </c>
      <c r="E185" s="562" t="s">
        <v>2683</v>
      </c>
      <c r="F185" s="25" t="s">
        <v>10</v>
      </c>
      <c r="G185" s="25" t="s">
        <v>100</v>
      </c>
      <c r="H185" s="25" t="s">
        <v>3</v>
      </c>
      <c r="I185" s="2" t="s">
        <v>4</v>
      </c>
      <c r="J185" s="25" t="s">
        <v>2295</v>
      </c>
      <c r="K185" s="25">
        <v>-6.0365000000000002</v>
      </c>
      <c r="L185" s="25">
        <v>106.05128000000001</v>
      </c>
      <c r="M185" s="397" t="s">
        <v>11</v>
      </c>
      <c r="N185" s="25" t="s">
        <v>3300</v>
      </c>
      <c r="O185" s="2" t="s">
        <v>19</v>
      </c>
      <c r="P185" s="2" t="s">
        <v>20</v>
      </c>
      <c r="Q185" s="25" t="s">
        <v>1024</v>
      </c>
      <c r="R185" s="2" t="s">
        <v>2720</v>
      </c>
      <c r="T185" s="2" t="s">
        <v>2717</v>
      </c>
    </row>
    <row r="186" spans="2:20" hidden="1">
      <c r="B186" s="25" t="s">
        <v>3275</v>
      </c>
      <c r="C186" s="25" t="s">
        <v>3279</v>
      </c>
      <c r="D186" s="25" t="s">
        <v>3280</v>
      </c>
      <c r="E186" s="25" t="s">
        <v>3281</v>
      </c>
      <c r="F186" s="25" t="s">
        <v>10</v>
      </c>
      <c r="G186" s="25" t="s">
        <v>100</v>
      </c>
      <c r="H186" s="2" t="s">
        <v>3256</v>
      </c>
      <c r="I186" s="2" t="s">
        <v>4</v>
      </c>
      <c r="J186" s="25" t="s">
        <v>314</v>
      </c>
      <c r="K186" s="25">
        <v>-7.2454599999999996</v>
      </c>
      <c r="L186" s="25">
        <v>106.65175000000001</v>
      </c>
      <c r="M186" s="397" t="s">
        <v>11</v>
      </c>
      <c r="N186" s="25" t="s">
        <v>3301</v>
      </c>
      <c r="O186" s="2" t="s">
        <v>12</v>
      </c>
      <c r="P186" s="2" t="s">
        <v>13</v>
      </c>
      <c r="Q186" s="25" t="s">
        <v>2230</v>
      </c>
      <c r="R186" s="2" t="s">
        <v>2231</v>
      </c>
      <c r="T186" s="2" t="s">
        <v>2415</v>
      </c>
    </row>
    <row r="187" spans="2:20" hidden="1">
      <c r="B187" s="25" t="s">
        <v>3293</v>
      </c>
      <c r="C187" s="25" t="s">
        <v>3291</v>
      </c>
      <c r="D187" s="25" t="s">
        <v>3292</v>
      </c>
      <c r="E187" s="25" t="s">
        <v>3273</v>
      </c>
      <c r="F187" s="25" t="s">
        <v>10</v>
      </c>
      <c r="G187" s="25" t="s">
        <v>100</v>
      </c>
      <c r="H187" s="2" t="s">
        <v>3256</v>
      </c>
      <c r="I187" s="2" t="s">
        <v>4</v>
      </c>
      <c r="J187" s="25" t="s">
        <v>316</v>
      </c>
      <c r="K187" s="25">
        <v>-7.4170100000000003</v>
      </c>
      <c r="L187" s="25">
        <v>106.78173</v>
      </c>
      <c r="M187" s="397" t="s">
        <v>11</v>
      </c>
      <c r="N187" s="2" t="s">
        <v>3303</v>
      </c>
      <c r="O187" s="2" t="s">
        <v>12</v>
      </c>
      <c r="P187" s="2" t="s">
        <v>13</v>
      </c>
      <c r="Q187" s="25" t="s">
        <v>1011</v>
      </c>
      <c r="R187" s="2" t="s">
        <v>2719</v>
      </c>
      <c r="T187" s="2" t="s">
        <v>2188</v>
      </c>
    </row>
    <row r="188" spans="2:20" hidden="1">
      <c r="B188" s="25" t="s">
        <v>3233</v>
      </c>
      <c r="C188" s="25" t="s">
        <v>3232</v>
      </c>
      <c r="D188" s="562" t="s">
        <v>2936</v>
      </c>
      <c r="E188" s="588" t="s">
        <v>2937</v>
      </c>
      <c r="F188" s="25" t="s">
        <v>10</v>
      </c>
      <c r="G188" s="25" t="s">
        <v>100</v>
      </c>
      <c r="H188" s="25" t="s">
        <v>3</v>
      </c>
      <c r="I188" s="2" t="s">
        <v>4</v>
      </c>
      <c r="J188" s="25" t="s">
        <v>2162</v>
      </c>
      <c r="K188" s="25">
        <v>-6.3858699999999997</v>
      </c>
      <c r="L188" s="25">
        <v>106.61203999999999</v>
      </c>
      <c r="M188" s="397" t="s">
        <v>11</v>
      </c>
      <c r="N188" s="25" t="s">
        <v>3271</v>
      </c>
      <c r="O188" s="2" t="s">
        <v>26</v>
      </c>
      <c r="P188" s="2" t="s">
        <v>13</v>
      </c>
      <c r="Q188" s="25" t="s">
        <v>1024</v>
      </c>
      <c r="R188" s="2" t="s">
        <v>2880</v>
      </c>
      <c r="T188" s="2" t="s">
        <v>2883</v>
      </c>
    </row>
    <row r="189" spans="2:20" hidden="1">
      <c r="B189" s="25" t="s">
        <v>3064</v>
      </c>
      <c r="C189" s="25" t="s">
        <v>3065</v>
      </c>
      <c r="D189" s="25" t="s">
        <v>3066</v>
      </c>
      <c r="E189" s="25" t="s">
        <v>3067</v>
      </c>
      <c r="F189" s="25" t="s">
        <v>10</v>
      </c>
      <c r="G189" s="25" t="s">
        <v>100</v>
      </c>
      <c r="H189" s="25" t="s">
        <v>54</v>
      </c>
      <c r="I189" s="2" t="s">
        <v>4</v>
      </c>
      <c r="J189" s="25" t="s">
        <v>316</v>
      </c>
      <c r="K189" s="25">
        <v>-6.5183299999999997</v>
      </c>
      <c r="L189" s="25">
        <v>106.84592000000001</v>
      </c>
      <c r="M189" s="397" t="s">
        <v>11</v>
      </c>
      <c r="N189" s="25" t="s">
        <v>3306</v>
      </c>
      <c r="O189" s="2" t="s">
        <v>26</v>
      </c>
      <c r="P189" s="2" t="s">
        <v>13</v>
      </c>
      <c r="Q189" s="25" t="s">
        <v>1024</v>
      </c>
      <c r="R189" s="2" t="s">
        <v>3308</v>
      </c>
      <c r="T189" s="2" t="s">
        <v>3309</v>
      </c>
    </row>
    <row r="190" spans="2:20" hidden="1">
      <c r="B190" s="878" t="s">
        <v>3040</v>
      </c>
      <c r="C190" s="878" t="s">
        <v>3041</v>
      </c>
      <c r="D190" s="865" t="s">
        <v>2858</v>
      </c>
      <c r="E190" s="25" t="s">
        <v>3162</v>
      </c>
      <c r="F190" s="25" t="s">
        <v>10</v>
      </c>
      <c r="G190" s="25" t="s">
        <v>100</v>
      </c>
      <c r="H190" s="25" t="s">
        <v>3</v>
      </c>
      <c r="I190" s="2" t="s">
        <v>4</v>
      </c>
      <c r="J190" s="25" t="s">
        <v>2162</v>
      </c>
      <c r="K190" s="556">
        <v>-6.2018800000000001</v>
      </c>
      <c r="L190" s="556">
        <v>107.18420999999999</v>
      </c>
      <c r="M190" s="397" t="s">
        <v>11</v>
      </c>
      <c r="N190" s="25" t="s">
        <v>3307</v>
      </c>
      <c r="O190" s="2" t="s">
        <v>638</v>
      </c>
      <c r="P190" s="2" t="s">
        <v>13</v>
      </c>
      <c r="Q190" s="25" t="s">
        <v>1011</v>
      </c>
      <c r="R190" s="2" t="s">
        <v>2719</v>
      </c>
      <c r="T190" s="2" t="s">
        <v>2188</v>
      </c>
    </row>
    <row r="191" spans="2:20" hidden="1">
      <c r="B191" s="25" t="s">
        <v>2967</v>
      </c>
      <c r="C191" s="25" t="s">
        <v>2968</v>
      </c>
      <c r="D191" s="562" t="s">
        <v>2887</v>
      </c>
      <c r="E191" s="562" t="s">
        <v>2886</v>
      </c>
      <c r="F191" s="25" t="s">
        <v>10</v>
      </c>
      <c r="G191" s="25" t="s">
        <v>100</v>
      </c>
      <c r="H191" s="25" t="s">
        <v>3</v>
      </c>
      <c r="I191" s="2" t="s">
        <v>4</v>
      </c>
      <c r="J191" s="25" t="s">
        <v>2295</v>
      </c>
      <c r="K191" s="25">
        <v>106.7433</v>
      </c>
      <c r="L191" s="25">
        <v>-6.5291100000000002</v>
      </c>
      <c r="M191" s="397" t="s">
        <v>11</v>
      </c>
      <c r="N191" s="25" t="s">
        <v>3312</v>
      </c>
      <c r="O191" s="2" t="s">
        <v>26</v>
      </c>
      <c r="P191" s="2" t="s">
        <v>13</v>
      </c>
      <c r="Q191" s="25" t="s">
        <v>1024</v>
      </c>
      <c r="R191" s="2" t="s">
        <v>1624</v>
      </c>
      <c r="T191" s="2" t="s">
        <v>1616</v>
      </c>
    </row>
    <row r="192" spans="2:20" hidden="1">
      <c r="B192" s="25" t="s">
        <v>3217</v>
      </c>
      <c r="C192" s="25" t="s">
        <v>3218</v>
      </c>
      <c r="D192" s="562" t="s">
        <v>2932</v>
      </c>
      <c r="E192" s="25" t="s">
        <v>2933</v>
      </c>
      <c r="F192" s="25" t="s">
        <v>10</v>
      </c>
      <c r="G192" s="25" t="s">
        <v>100</v>
      </c>
      <c r="H192" s="25" t="s">
        <v>3</v>
      </c>
      <c r="I192" s="2" t="s">
        <v>4</v>
      </c>
      <c r="J192" s="2" t="s">
        <v>1978</v>
      </c>
      <c r="K192" s="885">
        <v>-6.4050700000000003</v>
      </c>
      <c r="L192" s="885">
        <v>107.08378</v>
      </c>
      <c r="M192" s="397" t="s">
        <v>11</v>
      </c>
      <c r="N192" s="25" t="s">
        <v>3314</v>
      </c>
      <c r="O192" s="2" t="s">
        <v>638</v>
      </c>
      <c r="P192" s="2" t="s">
        <v>13</v>
      </c>
      <c r="Q192" s="25" t="s">
        <v>1024</v>
      </c>
      <c r="R192" s="2" t="s">
        <v>3084</v>
      </c>
      <c r="T192" s="2" t="s">
        <v>3316</v>
      </c>
    </row>
    <row r="193" spans="2:20" hidden="1">
      <c r="D193" s="562" t="s">
        <v>2928</v>
      </c>
      <c r="E193" s="588" t="s">
        <v>2929</v>
      </c>
      <c r="F193" s="25" t="s">
        <v>10</v>
      </c>
      <c r="G193" s="25" t="s">
        <v>100</v>
      </c>
      <c r="H193" s="25" t="s">
        <v>3</v>
      </c>
      <c r="I193" s="2" t="s">
        <v>4</v>
      </c>
      <c r="J193" s="2" t="s">
        <v>1978</v>
      </c>
      <c r="K193" s="235">
        <v>-6.3997599999999997</v>
      </c>
      <c r="L193" s="819">
        <v>107.21254999999999</v>
      </c>
      <c r="M193" s="397" t="s">
        <v>11</v>
      </c>
      <c r="N193" s="25" t="s">
        <v>3302</v>
      </c>
      <c r="O193" s="2" t="s">
        <v>638</v>
      </c>
      <c r="P193" s="2" t="s">
        <v>13</v>
      </c>
      <c r="Q193" s="25" t="s">
        <v>1024</v>
      </c>
      <c r="R193" s="2" t="s">
        <v>3084</v>
      </c>
      <c r="T193" s="2" t="s">
        <v>3316</v>
      </c>
    </row>
    <row r="194" spans="2:20" hidden="1">
      <c r="B194" s="25" t="s">
        <v>207</v>
      </c>
      <c r="C194" s="25" t="s">
        <v>411</v>
      </c>
      <c r="D194" s="396" t="s">
        <v>194</v>
      </c>
      <c r="E194" s="25" t="s">
        <v>907</v>
      </c>
      <c r="F194" s="25" t="s">
        <v>10</v>
      </c>
      <c r="G194" s="25" t="s">
        <v>100</v>
      </c>
      <c r="H194" s="25" t="s">
        <v>54</v>
      </c>
      <c r="I194" s="25" t="s">
        <v>4</v>
      </c>
      <c r="J194" s="25" t="s">
        <v>178</v>
      </c>
      <c r="K194" s="25">
        <v>-6.1679000000000004</v>
      </c>
      <c r="L194" s="25">
        <v>106.59617</v>
      </c>
      <c r="M194" s="397" t="s">
        <v>5</v>
      </c>
      <c r="N194" s="25" t="s">
        <v>3319</v>
      </c>
      <c r="O194" s="2" t="s">
        <v>21</v>
      </c>
      <c r="P194" s="2" t="s">
        <v>20</v>
      </c>
      <c r="Q194" s="2" t="s">
        <v>3320</v>
      </c>
      <c r="R194" s="2" t="s">
        <v>3308</v>
      </c>
      <c r="T194" s="2" t="s">
        <v>3309</v>
      </c>
    </row>
    <row r="195" spans="2:20" hidden="1">
      <c r="B195" s="599" t="s">
        <v>2476</v>
      </c>
      <c r="C195" s="599" t="s">
        <v>2487</v>
      </c>
      <c r="D195" s="599" t="s">
        <v>488</v>
      </c>
      <c r="E195" s="599" t="s">
        <v>2507</v>
      </c>
      <c r="F195" s="25" t="s">
        <v>10</v>
      </c>
      <c r="G195" s="25" t="s">
        <v>100</v>
      </c>
      <c r="H195" s="25" t="s">
        <v>54</v>
      </c>
      <c r="I195" s="25" t="s">
        <v>4</v>
      </c>
      <c r="J195" s="25" t="s">
        <v>1978</v>
      </c>
      <c r="K195" s="25">
        <v>-6.1974099999999996</v>
      </c>
      <c r="L195" s="25">
        <v>106.68600000000001</v>
      </c>
      <c r="M195" s="397" t="s">
        <v>5</v>
      </c>
      <c r="N195" s="25" t="s">
        <v>3315</v>
      </c>
      <c r="O195" s="2" t="s">
        <v>19</v>
      </c>
      <c r="P195" s="2" t="s">
        <v>20</v>
      </c>
      <c r="Q195" s="2" t="s">
        <v>3321</v>
      </c>
      <c r="R195" s="2" t="s">
        <v>2720</v>
      </c>
      <c r="T195" s="2" t="s">
        <v>2717</v>
      </c>
    </row>
    <row r="196" spans="2:20" hidden="1">
      <c r="B196" s="25" t="s">
        <v>3022</v>
      </c>
      <c r="C196" s="25" t="s">
        <v>3024</v>
      </c>
      <c r="D196" s="25" t="s">
        <v>3025</v>
      </c>
      <c r="E196" s="25" t="s">
        <v>3026</v>
      </c>
      <c r="F196" s="25" t="s">
        <v>10</v>
      </c>
      <c r="G196" s="25" t="s">
        <v>100</v>
      </c>
      <c r="H196" s="25" t="s">
        <v>54</v>
      </c>
      <c r="I196" s="25" t="s">
        <v>4</v>
      </c>
      <c r="J196" s="2" t="s">
        <v>179</v>
      </c>
      <c r="K196" s="25">
        <v>-6.6087999999999996</v>
      </c>
      <c r="L196" s="25">
        <v>106.66561</v>
      </c>
      <c r="M196" s="2" t="s">
        <v>11</v>
      </c>
      <c r="N196" s="25" t="s">
        <v>3323</v>
      </c>
      <c r="O196" s="2" t="s">
        <v>26</v>
      </c>
      <c r="P196" s="2" t="s">
        <v>13</v>
      </c>
      <c r="Q196" s="2" t="s">
        <v>1011</v>
      </c>
      <c r="R196" s="2" t="s">
        <v>2231</v>
      </c>
      <c r="T196" s="2" t="s">
        <v>2415</v>
      </c>
    </row>
    <row r="197" spans="2:20" hidden="1">
      <c r="B197" s="25" t="s">
        <v>2834</v>
      </c>
      <c r="C197" s="25" t="s">
        <v>2835</v>
      </c>
      <c r="D197" s="25" t="s">
        <v>2836</v>
      </c>
      <c r="E197" s="25" t="s">
        <v>2837</v>
      </c>
      <c r="F197" s="25" t="s">
        <v>10</v>
      </c>
      <c r="G197" s="25" t="s">
        <v>100</v>
      </c>
      <c r="H197" s="25" t="s">
        <v>54</v>
      </c>
      <c r="I197" s="25" t="s">
        <v>4</v>
      </c>
      <c r="J197" s="2" t="s">
        <v>179</v>
      </c>
      <c r="K197" s="25">
        <v>-6.0672199999999998</v>
      </c>
      <c r="L197" s="25">
        <v>106.64364999999999</v>
      </c>
      <c r="M197" s="2" t="s">
        <v>11</v>
      </c>
      <c r="N197" s="2" t="s">
        <v>3348</v>
      </c>
      <c r="O197" s="2" t="s">
        <v>19</v>
      </c>
      <c r="P197" s="2" t="s">
        <v>20</v>
      </c>
      <c r="Q197" s="2" t="s">
        <v>1011</v>
      </c>
      <c r="R197" s="2" t="s">
        <v>3349</v>
      </c>
      <c r="T197" s="2" t="s">
        <v>2882</v>
      </c>
    </row>
    <row r="198" spans="2:20" hidden="1">
      <c r="B198" s="561" t="s">
        <v>3400</v>
      </c>
      <c r="C198" s="561" t="s">
        <v>3399</v>
      </c>
      <c r="D198" s="562" t="s">
        <v>2930</v>
      </c>
      <c r="E198" s="588" t="s">
        <v>2931</v>
      </c>
      <c r="F198" s="25" t="s">
        <v>10</v>
      </c>
      <c r="G198" s="25" t="s">
        <v>100</v>
      </c>
      <c r="H198" s="2" t="s">
        <v>3</v>
      </c>
      <c r="I198" s="2" t="s">
        <v>4</v>
      </c>
      <c r="J198" s="2" t="s">
        <v>2162</v>
      </c>
      <c r="K198" s="941">
        <v>-6.2515400000000003</v>
      </c>
      <c r="L198" s="941">
        <v>107.24274</v>
      </c>
      <c r="M198" s="397" t="s">
        <v>11</v>
      </c>
      <c r="N198" s="25" t="s">
        <v>3405</v>
      </c>
      <c r="O198" s="2" t="s">
        <v>53</v>
      </c>
      <c r="P198" s="2" t="s">
        <v>13</v>
      </c>
      <c r="Q198" s="2" t="s">
        <v>2432</v>
      </c>
      <c r="R198" s="2" t="s">
        <v>2420</v>
      </c>
      <c r="T198" s="2" t="s">
        <v>2421</v>
      </c>
    </row>
    <row r="199" spans="2:20" hidden="1">
      <c r="B199" s="561" t="s">
        <v>3395</v>
      </c>
      <c r="C199" s="561" t="s">
        <v>3396</v>
      </c>
      <c r="D199" s="562" t="s">
        <v>2926</v>
      </c>
      <c r="E199" s="588" t="s">
        <v>2927</v>
      </c>
      <c r="F199" s="25" t="s">
        <v>10</v>
      </c>
      <c r="G199" s="25" t="s">
        <v>100</v>
      </c>
      <c r="H199" s="2" t="s">
        <v>3</v>
      </c>
      <c r="I199" s="2" t="s">
        <v>4</v>
      </c>
      <c r="J199" s="2" t="s">
        <v>2295</v>
      </c>
      <c r="K199" s="941">
        <v>-6.2515400000000003</v>
      </c>
      <c r="L199" s="941">
        <v>107.24274</v>
      </c>
      <c r="M199" s="397" t="s">
        <v>11</v>
      </c>
      <c r="N199" s="25" t="s">
        <v>3404</v>
      </c>
      <c r="O199" s="2" t="s">
        <v>638</v>
      </c>
      <c r="P199" s="2" t="s">
        <v>13</v>
      </c>
      <c r="Q199" s="2" t="s">
        <v>1024</v>
      </c>
      <c r="R199" s="2" t="s">
        <v>3406</v>
      </c>
      <c r="T199" s="2" t="s">
        <v>3397</v>
      </c>
    </row>
    <row r="200" spans="2:20" hidden="1">
      <c r="B200" s="25" t="s">
        <v>3252</v>
      </c>
      <c r="C200" s="25" t="s">
        <v>3253</v>
      </c>
      <c r="D200" s="25" t="s">
        <v>3254</v>
      </c>
      <c r="E200" s="25" t="s">
        <v>3255</v>
      </c>
      <c r="F200" s="25" t="s">
        <v>10</v>
      </c>
      <c r="G200" s="25" t="s">
        <v>100</v>
      </c>
      <c r="H200" s="2" t="s">
        <v>3256</v>
      </c>
      <c r="I200" s="2" t="s">
        <v>4</v>
      </c>
      <c r="J200" s="2" t="s">
        <v>178</v>
      </c>
      <c r="K200" s="25">
        <v>-6.9574499999999997</v>
      </c>
      <c r="L200" s="25">
        <v>106.75787</v>
      </c>
      <c r="M200" s="397" t="s">
        <v>11</v>
      </c>
      <c r="N200" s="25" t="s">
        <v>3393</v>
      </c>
      <c r="O200" s="2" t="s">
        <v>12</v>
      </c>
      <c r="P200" s="2" t="s">
        <v>13</v>
      </c>
      <c r="Q200" s="2" t="s">
        <v>2230</v>
      </c>
      <c r="R200" s="2" t="s">
        <v>2231</v>
      </c>
      <c r="T200" s="2" t="s">
        <v>2415</v>
      </c>
    </row>
    <row r="201" spans="2:20" hidden="1">
      <c r="B201" s="25" t="s">
        <v>3358</v>
      </c>
      <c r="C201" s="25" t="s">
        <v>3362</v>
      </c>
      <c r="D201" s="25" t="s">
        <v>3363</v>
      </c>
      <c r="E201" s="2" t="s">
        <v>3364</v>
      </c>
      <c r="F201" s="25" t="s">
        <v>10</v>
      </c>
      <c r="G201" s="25" t="s">
        <v>100</v>
      </c>
      <c r="H201" s="2" t="s">
        <v>54</v>
      </c>
      <c r="I201" s="2" t="s">
        <v>4</v>
      </c>
      <c r="J201" s="2" t="s">
        <v>316</v>
      </c>
      <c r="K201" s="25">
        <v>-6.85067</v>
      </c>
      <c r="L201" s="25">
        <v>106.88467</v>
      </c>
      <c r="M201" s="397" t="s">
        <v>11</v>
      </c>
      <c r="N201" s="25" t="s">
        <v>3407</v>
      </c>
      <c r="O201" s="2" t="s">
        <v>12</v>
      </c>
      <c r="P201" s="2" t="s">
        <v>13</v>
      </c>
      <c r="Q201" s="2" t="s">
        <v>2230</v>
      </c>
      <c r="R201" s="2" t="s">
        <v>2719</v>
      </c>
      <c r="T201" s="407" t="s">
        <v>2188</v>
      </c>
    </row>
    <row r="202" spans="2:20">
      <c r="B202" s="25" t="s">
        <v>3023</v>
      </c>
      <c r="C202" s="25" t="s">
        <v>3027</v>
      </c>
      <c r="D202" s="25" t="s">
        <v>3028</v>
      </c>
      <c r="E202" s="949" t="s">
        <v>3029</v>
      </c>
      <c r="F202" s="25" t="s">
        <v>10</v>
      </c>
      <c r="G202" s="25" t="s">
        <v>100</v>
      </c>
      <c r="H202" s="2" t="s">
        <v>54</v>
      </c>
      <c r="I202" s="2" t="s">
        <v>4</v>
      </c>
      <c r="J202" s="25" t="s">
        <v>323</v>
      </c>
      <c r="K202" s="25">
        <v>-6.3052900000000003</v>
      </c>
      <c r="L202" s="25">
        <v>106.58112</v>
      </c>
      <c r="M202" s="397" t="s">
        <v>11</v>
      </c>
      <c r="N202" s="25" t="s">
        <v>3441</v>
      </c>
      <c r="O202" s="2" t="s">
        <v>19</v>
      </c>
      <c r="P202" s="2" t="s">
        <v>20</v>
      </c>
      <c r="Q202" s="2" t="s">
        <v>1198</v>
      </c>
      <c r="R202" s="2" t="s">
        <v>1624</v>
      </c>
      <c r="T202" s="407" t="s">
        <v>1616</v>
      </c>
    </row>
    <row r="203" spans="2:20">
      <c r="B203" s="25" t="s">
        <v>3359</v>
      </c>
      <c r="C203" s="25" t="s">
        <v>3365</v>
      </c>
      <c r="D203" s="25" t="s">
        <v>3366</v>
      </c>
      <c r="E203" s="25" t="s">
        <v>3367</v>
      </c>
      <c r="F203" s="25" t="s">
        <v>10</v>
      </c>
      <c r="G203" s="25" t="s">
        <v>100</v>
      </c>
      <c r="H203" s="2" t="s">
        <v>54</v>
      </c>
      <c r="I203" s="2" t="s">
        <v>4</v>
      </c>
      <c r="J203" s="25" t="s">
        <v>316</v>
      </c>
      <c r="K203" s="25">
        <v>-6.0973899999999999</v>
      </c>
      <c r="L203" s="25">
        <v>106.30466</v>
      </c>
      <c r="M203" s="397" t="s">
        <v>11</v>
      </c>
      <c r="N203" s="25" t="s">
        <v>3435</v>
      </c>
      <c r="O203" s="2" t="s">
        <v>772</v>
      </c>
      <c r="P203" s="2" t="s">
        <v>20</v>
      </c>
      <c r="Q203" s="2" t="s">
        <v>1011</v>
      </c>
      <c r="R203" s="2" t="s">
        <v>2576</v>
      </c>
      <c r="T203" s="407" t="s">
        <v>2331</v>
      </c>
    </row>
  </sheetData>
  <autoFilter ref="A1:T203" xr:uid="{00000000-0009-0000-0000-00000A000000}">
    <filterColumn colId="4">
      <filters>
        <filter val="SERANG CARENANG"/>
        <filter val="TANGERANG LEGOK"/>
      </filters>
    </filterColumn>
  </autoFilter>
  <conditionalFormatting sqref="E25">
    <cfRule type="duplicateValues" dxfId="74" priority="84"/>
  </conditionalFormatting>
  <conditionalFormatting sqref="E25">
    <cfRule type="duplicateValues" dxfId="73" priority="83"/>
  </conditionalFormatting>
  <conditionalFormatting sqref="E25">
    <cfRule type="duplicateValues" dxfId="72" priority="82"/>
  </conditionalFormatting>
  <conditionalFormatting sqref="E25">
    <cfRule type="duplicateValues" dxfId="71" priority="81"/>
  </conditionalFormatting>
  <conditionalFormatting sqref="E25">
    <cfRule type="duplicateValues" dxfId="70" priority="80"/>
  </conditionalFormatting>
  <conditionalFormatting sqref="E26:F26 I26">
    <cfRule type="duplicateValues" dxfId="69" priority="79"/>
  </conditionalFormatting>
  <conditionalFormatting sqref="E26:F26">
    <cfRule type="duplicateValues" dxfId="68" priority="78"/>
  </conditionalFormatting>
  <conditionalFormatting sqref="E26:F26">
    <cfRule type="duplicateValues" dxfId="67" priority="77"/>
  </conditionalFormatting>
  <conditionalFormatting sqref="E26:F26">
    <cfRule type="duplicateValues" dxfId="66" priority="76"/>
  </conditionalFormatting>
  <conditionalFormatting sqref="E26:F26">
    <cfRule type="duplicateValues" dxfId="65" priority="75"/>
  </conditionalFormatting>
  <conditionalFormatting sqref="F27">
    <cfRule type="duplicateValues" dxfId="64" priority="74"/>
  </conditionalFormatting>
  <conditionalFormatting sqref="F27">
    <cfRule type="duplicateValues" dxfId="63" priority="73"/>
  </conditionalFormatting>
  <conditionalFormatting sqref="F27">
    <cfRule type="duplicateValues" dxfId="62" priority="72"/>
  </conditionalFormatting>
  <conditionalFormatting sqref="F27">
    <cfRule type="duplicateValues" dxfId="61" priority="71"/>
  </conditionalFormatting>
  <conditionalFormatting sqref="F27">
    <cfRule type="duplicateValues" dxfId="60" priority="70"/>
  </conditionalFormatting>
  <conditionalFormatting sqref="I27">
    <cfRule type="duplicateValues" dxfId="59" priority="69"/>
  </conditionalFormatting>
  <conditionalFormatting sqref="I27">
    <cfRule type="duplicateValues" dxfId="58" priority="68"/>
  </conditionalFormatting>
  <conditionalFormatting sqref="I27">
    <cfRule type="duplicateValues" dxfId="57" priority="67"/>
  </conditionalFormatting>
  <conditionalFormatting sqref="I27">
    <cfRule type="duplicateValues" dxfId="56" priority="66"/>
  </conditionalFormatting>
  <conditionalFormatting sqref="I27">
    <cfRule type="duplicateValues" dxfId="55" priority="65"/>
  </conditionalFormatting>
  <conditionalFormatting sqref="A126">
    <cfRule type="duplicateValues" dxfId="54" priority="63"/>
  </conditionalFormatting>
  <conditionalFormatting sqref="A125">
    <cfRule type="duplicateValues" dxfId="53" priority="62"/>
  </conditionalFormatting>
  <conditionalFormatting sqref="D125">
    <cfRule type="duplicateValues" dxfId="52" priority="61"/>
  </conditionalFormatting>
  <conditionalFormatting sqref="D126">
    <cfRule type="duplicateValues" dxfId="51" priority="60"/>
  </conditionalFormatting>
  <conditionalFormatting sqref="D127">
    <cfRule type="duplicateValues" dxfId="50" priority="57"/>
  </conditionalFormatting>
  <conditionalFormatting sqref="D128">
    <cfRule type="duplicateValues" dxfId="49" priority="55"/>
  </conditionalFormatting>
  <conditionalFormatting sqref="D129:D130">
    <cfRule type="duplicateValues" dxfId="48" priority="54"/>
  </conditionalFormatting>
  <conditionalFormatting sqref="D131">
    <cfRule type="duplicateValues" dxfId="47" priority="53"/>
  </conditionalFormatting>
  <conditionalFormatting sqref="D132">
    <cfRule type="duplicateValues" dxfId="46" priority="52"/>
  </conditionalFormatting>
  <conditionalFormatting sqref="D133">
    <cfRule type="duplicateValues" dxfId="45" priority="51"/>
  </conditionalFormatting>
  <conditionalFormatting sqref="E135">
    <cfRule type="duplicateValues" dxfId="44" priority="50"/>
  </conditionalFormatting>
  <conditionalFormatting sqref="D136">
    <cfRule type="duplicateValues" dxfId="43" priority="49"/>
  </conditionalFormatting>
  <conditionalFormatting sqref="D137">
    <cfRule type="duplicateValues" dxfId="42" priority="48"/>
  </conditionalFormatting>
  <conditionalFormatting sqref="D138">
    <cfRule type="duplicateValues" dxfId="41" priority="47"/>
  </conditionalFormatting>
  <conditionalFormatting sqref="D139">
    <cfRule type="duplicateValues" dxfId="40" priority="46"/>
  </conditionalFormatting>
  <conditionalFormatting sqref="E140">
    <cfRule type="duplicateValues" dxfId="39" priority="45"/>
  </conditionalFormatting>
  <conditionalFormatting sqref="D141">
    <cfRule type="duplicateValues" dxfId="38" priority="44"/>
  </conditionalFormatting>
  <conditionalFormatting sqref="D143">
    <cfRule type="duplicateValues" dxfId="37" priority="43"/>
  </conditionalFormatting>
  <conditionalFormatting sqref="D146">
    <cfRule type="duplicateValues" dxfId="36" priority="42"/>
  </conditionalFormatting>
  <conditionalFormatting sqref="D148">
    <cfRule type="duplicateValues" dxfId="35" priority="41"/>
  </conditionalFormatting>
  <conditionalFormatting sqref="D149">
    <cfRule type="duplicateValues" dxfId="34" priority="40"/>
  </conditionalFormatting>
  <conditionalFormatting sqref="D150">
    <cfRule type="duplicateValues" dxfId="33" priority="39"/>
  </conditionalFormatting>
  <conditionalFormatting sqref="E151">
    <cfRule type="duplicateValues" dxfId="32" priority="38"/>
  </conditionalFormatting>
  <conditionalFormatting sqref="E152">
    <cfRule type="duplicateValues" dxfId="31" priority="37"/>
  </conditionalFormatting>
  <conditionalFormatting sqref="E153">
    <cfRule type="duplicateValues" dxfId="30" priority="36"/>
  </conditionalFormatting>
  <conditionalFormatting sqref="E154">
    <cfRule type="duplicateValues" dxfId="29" priority="35"/>
  </conditionalFormatting>
  <conditionalFormatting sqref="E156 D155">
    <cfRule type="duplicateValues" dxfId="28" priority="34"/>
  </conditionalFormatting>
  <conditionalFormatting sqref="E162">
    <cfRule type="duplicateValues" dxfId="27" priority="33"/>
  </conditionalFormatting>
  <conditionalFormatting sqref="E163">
    <cfRule type="duplicateValues" dxfId="26" priority="32"/>
  </conditionalFormatting>
  <conditionalFormatting sqref="E164:E166">
    <cfRule type="duplicateValues" dxfId="25" priority="31"/>
  </conditionalFormatting>
  <conditionalFormatting sqref="E167">
    <cfRule type="duplicateValues" dxfId="24" priority="30"/>
  </conditionalFormatting>
  <conditionalFormatting sqref="E168">
    <cfRule type="duplicateValues" dxfId="23" priority="29"/>
  </conditionalFormatting>
  <conditionalFormatting sqref="E169">
    <cfRule type="duplicateValues" dxfId="22" priority="28"/>
  </conditionalFormatting>
  <conditionalFormatting sqref="E170:E173">
    <cfRule type="duplicateValues" dxfId="21" priority="26"/>
  </conditionalFormatting>
  <conditionalFormatting sqref="E174">
    <cfRule type="duplicateValues" dxfId="20" priority="25"/>
  </conditionalFormatting>
  <conditionalFormatting sqref="E175">
    <cfRule type="duplicateValues" dxfId="19" priority="24"/>
  </conditionalFormatting>
  <conditionalFormatting sqref="E176:E177">
    <cfRule type="duplicateValues" dxfId="18" priority="22"/>
  </conditionalFormatting>
  <conditionalFormatting sqref="E178">
    <cfRule type="duplicateValues" dxfId="17" priority="21"/>
  </conditionalFormatting>
  <conditionalFormatting sqref="E179">
    <cfRule type="duplicateValues" dxfId="16" priority="20"/>
  </conditionalFormatting>
  <conditionalFormatting sqref="E180:E182">
    <cfRule type="duplicateValues" dxfId="15" priority="19"/>
  </conditionalFormatting>
  <conditionalFormatting sqref="E183">
    <cfRule type="duplicateValues" dxfId="14" priority="18"/>
  </conditionalFormatting>
  <conditionalFormatting sqref="E184">
    <cfRule type="duplicateValues" dxfId="13" priority="17"/>
  </conditionalFormatting>
  <conditionalFormatting sqref="E185">
    <cfRule type="duplicateValues" dxfId="12" priority="16"/>
  </conditionalFormatting>
  <conditionalFormatting sqref="E186:E187">
    <cfRule type="duplicateValues" dxfId="11" priority="15"/>
  </conditionalFormatting>
  <conditionalFormatting sqref="E188">
    <cfRule type="duplicateValues" dxfId="10" priority="14"/>
  </conditionalFormatting>
  <conditionalFormatting sqref="E189">
    <cfRule type="duplicateValues" dxfId="9" priority="13"/>
  </conditionalFormatting>
  <conditionalFormatting sqref="E190">
    <cfRule type="duplicateValues" dxfId="8" priority="12"/>
  </conditionalFormatting>
  <conditionalFormatting sqref="E191">
    <cfRule type="duplicateValues" dxfId="7" priority="11"/>
  </conditionalFormatting>
  <conditionalFormatting sqref="E192">
    <cfRule type="duplicateValues" dxfId="6" priority="10"/>
  </conditionalFormatting>
  <conditionalFormatting sqref="E193">
    <cfRule type="duplicateValues" dxfId="5" priority="9"/>
  </conditionalFormatting>
  <conditionalFormatting sqref="E195 D194">
    <cfRule type="duplicateValues" dxfId="4" priority="8"/>
  </conditionalFormatting>
  <conditionalFormatting sqref="E196">
    <cfRule type="duplicateValues" dxfId="3" priority="7"/>
  </conditionalFormatting>
  <conditionalFormatting sqref="E197">
    <cfRule type="duplicateValues" dxfId="2" priority="6"/>
  </conditionalFormatting>
  <conditionalFormatting sqref="E198:E200">
    <cfRule type="duplicateValues" dxfId="1" priority="2"/>
  </conditionalFormatting>
  <conditionalFormatting sqref="E202:E203">
    <cfRule type="duplicateValues" dxfId="0" priority="1"/>
  </conditionalFormatting>
  <pageMargins left="0.7" right="0.7" top="0.75" bottom="0.75" header="0.3" footer="0.3"/>
  <pageSetup orientation="portrait" horizontalDpi="300" verticalDpi="300" r:id="rId1"/>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dimension ref="A1:S10"/>
  <sheetViews>
    <sheetView workbookViewId="0">
      <pane xSplit="4" ySplit="1" topLeftCell="P2" activePane="bottomRight" state="frozen"/>
      <selection pane="topRight" activeCell="E1" sqref="E1"/>
      <selection pane="bottomLeft" activeCell="A2" sqref="A2"/>
      <selection pane="bottomRight" activeCell="A6" sqref="A6:D6"/>
    </sheetView>
  </sheetViews>
  <sheetFormatPr defaultRowHeight="15"/>
  <cols>
    <col min="1" max="1" width="14.140625" bestFit="1" customWidth="1"/>
    <col min="2" max="2" width="11" bestFit="1" customWidth="1"/>
    <col min="3" max="3" width="16.5703125" bestFit="1" customWidth="1"/>
    <col min="4" max="4" width="28.140625" bestFit="1" customWidth="1"/>
    <col min="5" max="5" width="30.5703125" bestFit="1" customWidth="1"/>
    <col min="6" max="6" width="10.85546875" bestFit="1" customWidth="1"/>
    <col min="8" max="8" width="11.42578125" bestFit="1" customWidth="1"/>
    <col min="10" max="10" width="35.42578125" bestFit="1" customWidth="1"/>
    <col min="11" max="11" width="18.5703125" bestFit="1" customWidth="1"/>
    <col min="15" max="15" width="21.5703125" bestFit="1" customWidth="1"/>
    <col min="16" max="16" width="32.28515625" bestFit="1" customWidth="1"/>
    <col min="17" max="17" width="14.85546875" bestFit="1" customWidth="1"/>
    <col min="19" max="19" width="15.85546875" bestFit="1" customWidth="1"/>
  </cols>
  <sheetData>
    <row r="1" spans="1:19" s="948" customFormat="1">
      <c r="A1" s="948" t="s">
        <v>3408</v>
      </c>
      <c r="B1" s="948" t="s">
        <v>3409</v>
      </c>
      <c r="C1" s="948" t="s">
        <v>3410</v>
      </c>
      <c r="D1" s="948" t="s">
        <v>1054</v>
      </c>
      <c r="E1" s="948" t="s">
        <v>3411</v>
      </c>
      <c r="F1" s="948" t="s">
        <v>3412</v>
      </c>
      <c r="G1" s="948" t="s">
        <v>3413</v>
      </c>
      <c r="H1" s="948" t="s">
        <v>3414</v>
      </c>
      <c r="I1" s="948" t="s">
        <v>3415</v>
      </c>
      <c r="J1" s="948" t="s">
        <v>3416</v>
      </c>
      <c r="K1" s="948" t="s">
        <v>3417</v>
      </c>
      <c r="L1" s="948" t="s">
        <v>3418</v>
      </c>
      <c r="M1" s="948" t="s">
        <v>3419</v>
      </c>
      <c r="N1" s="948" t="s">
        <v>78</v>
      </c>
      <c r="O1" s="948" t="s">
        <v>3420</v>
      </c>
      <c r="P1" s="948" t="s">
        <v>3421</v>
      </c>
      <c r="Q1" s="948" t="s">
        <v>3422</v>
      </c>
      <c r="R1" s="948" t="s">
        <v>3423</v>
      </c>
      <c r="S1" s="948" t="s">
        <v>3424</v>
      </c>
    </row>
    <row r="2" spans="1:19">
      <c r="A2" t="s">
        <v>30</v>
      </c>
      <c r="B2" t="s">
        <v>113</v>
      </c>
      <c r="C2" t="s">
        <v>114</v>
      </c>
      <c r="D2" t="s">
        <v>31</v>
      </c>
      <c r="E2" t="s">
        <v>152</v>
      </c>
      <c r="F2" t="s">
        <v>10</v>
      </c>
      <c r="G2" t="s">
        <v>100</v>
      </c>
      <c r="H2" t="s">
        <v>16</v>
      </c>
      <c r="I2" t="s">
        <v>4</v>
      </c>
      <c r="J2" t="s">
        <v>571</v>
      </c>
      <c r="K2" s="947">
        <v>43844</v>
      </c>
      <c r="L2" t="s">
        <v>162</v>
      </c>
      <c r="M2" t="s">
        <v>572</v>
      </c>
      <c r="N2" t="s">
        <v>2546</v>
      </c>
      <c r="O2" t="s">
        <v>5</v>
      </c>
      <c r="P2" t="s">
        <v>6</v>
      </c>
      <c r="Q2" t="s">
        <v>7</v>
      </c>
      <c r="R2" t="s">
        <v>510</v>
      </c>
      <c r="S2" t="s">
        <v>3425</v>
      </c>
    </row>
    <row r="3" spans="1:19">
      <c r="A3" t="s">
        <v>2646</v>
      </c>
      <c r="B3" t="s">
        <v>2647</v>
      </c>
      <c r="C3" t="s">
        <v>2649</v>
      </c>
      <c r="D3" t="s">
        <v>2648</v>
      </c>
      <c r="E3" t="s">
        <v>2648</v>
      </c>
      <c r="F3" t="s">
        <v>10</v>
      </c>
      <c r="G3" t="s">
        <v>100</v>
      </c>
      <c r="H3" t="s">
        <v>16</v>
      </c>
      <c r="I3" t="s">
        <v>4</v>
      </c>
      <c r="J3" t="s">
        <v>2650</v>
      </c>
      <c r="K3" s="947">
        <v>44426</v>
      </c>
      <c r="L3" t="s">
        <v>3426</v>
      </c>
      <c r="M3" t="s">
        <v>3427</v>
      </c>
      <c r="N3" t="s">
        <v>2546</v>
      </c>
      <c r="O3" t="s">
        <v>5</v>
      </c>
      <c r="P3" t="s">
        <v>3428</v>
      </c>
      <c r="Q3" t="s">
        <v>7</v>
      </c>
      <c r="R3" t="s">
        <v>633</v>
      </c>
      <c r="S3" t="s">
        <v>3429</v>
      </c>
    </row>
    <row r="4" spans="1:19">
      <c r="A4" t="s">
        <v>2730</v>
      </c>
      <c r="B4" t="s">
        <v>2751</v>
      </c>
      <c r="C4" t="s">
        <v>2714</v>
      </c>
      <c r="D4" t="s">
        <v>2715</v>
      </c>
      <c r="E4" t="s">
        <v>2715</v>
      </c>
      <c r="F4" t="s">
        <v>10</v>
      </c>
      <c r="G4" t="s">
        <v>100</v>
      </c>
      <c r="H4" t="s">
        <v>3</v>
      </c>
      <c r="I4" t="s">
        <v>4</v>
      </c>
      <c r="J4" t="s">
        <v>2797</v>
      </c>
      <c r="K4" s="947">
        <v>44442</v>
      </c>
      <c r="L4" t="s">
        <v>2798</v>
      </c>
      <c r="M4" t="s">
        <v>2799</v>
      </c>
      <c r="N4" t="s">
        <v>2546</v>
      </c>
      <c r="O4" t="s">
        <v>11</v>
      </c>
      <c r="P4" t="s">
        <v>26</v>
      </c>
      <c r="Q4" t="s">
        <v>13</v>
      </c>
      <c r="R4" t="s">
        <v>2771</v>
      </c>
      <c r="S4" t="s">
        <v>3429</v>
      </c>
    </row>
    <row r="5" spans="1:19">
      <c r="A5" t="s">
        <v>50</v>
      </c>
      <c r="B5" t="s">
        <v>132</v>
      </c>
      <c r="C5" t="s">
        <v>133</v>
      </c>
      <c r="D5" t="s">
        <v>51</v>
      </c>
      <c r="E5" t="s">
        <v>157</v>
      </c>
      <c r="F5" t="s">
        <v>10</v>
      </c>
      <c r="G5" t="s">
        <v>100</v>
      </c>
      <c r="H5" t="s">
        <v>16</v>
      </c>
      <c r="I5" t="s">
        <v>4</v>
      </c>
      <c r="J5" t="s">
        <v>847</v>
      </c>
      <c r="K5" s="947">
        <v>44007</v>
      </c>
      <c r="L5" t="s">
        <v>848</v>
      </c>
      <c r="M5" t="s">
        <v>849</v>
      </c>
      <c r="N5" t="s">
        <v>2546</v>
      </c>
      <c r="O5" t="s">
        <v>11</v>
      </c>
      <c r="P5" t="s">
        <v>26</v>
      </c>
      <c r="Q5" t="s">
        <v>13</v>
      </c>
      <c r="R5" t="s">
        <v>514</v>
      </c>
      <c r="S5" t="s">
        <v>3425</v>
      </c>
    </row>
    <row r="6" spans="1:19">
      <c r="A6" t="s">
        <v>302</v>
      </c>
      <c r="B6" t="s">
        <v>400</v>
      </c>
      <c r="C6" t="s">
        <v>491</v>
      </c>
      <c r="D6" t="s">
        <v>853</v>
      </c>
      <c r="E6" t="s">
        <v>854</v>
      </c>
      <c r="F6" t="s">
        <v>10</v>
      </c>
      <c r="G6" t="s">
        <v>100</v>
      </c>
      <c r="H6" t="s">
        <v>16</v>
      </c>
      <c r="I6" t="s">
        <v>216</v>
      </c>
      <c r="J6" t="s">
        <v>855</v>
      </c>
      <c r="K6" s="947">
        <v>44082</v>
      </c>
      <c r="L6" t="s">
        <v>856</v>
      </c>
      <c r="M6" t="s">
        <v>3430</v>
      </c>
      <c r="N6" t="s">
        <v>2546</v>
      </c>
      <c r="O6" t="s">
        <v>5</v>
      </c>
      <c r="P6" t="s">
        <v>6</v>
      </c>
      <c r="Q6" t="s">
        <v>7</v>
      </c>
      <c r="R6" t="s">
        <v>3431</v>
      </c>
      <c r="S6" t="s">
        <v>3425</v>
      </c>
    </row>
    <row r="7" spans="1:19">
      <c r="A7" t="s">
        <v>3274</v>
      </c>
      <c r="B7" t="s">
        <v>3276</v>
      </c>
      <c r="C7" t="s">
        <v>3277</v>
      </c>
      <c r="D7" t="s">
        <v>3432</v>
      </c>
      <c r="E7" t="s">
        <v>3278</v>
      </c>
      <c r="F7" t="s">
        <v>10</v>
      </c>
      <c r="G7" t="s">
        <v>100</v>
      </c>
      <c r="H7" t="s">
        <v>3256</v>
      </c>
      <c r="I7" t="s">
        <v>4</v>
      </c>
      <c r="J7" t="s">
        <v>3282</v>
      </c>
      <c r="K7" s="947">
        <v>44498</v>
      </c>
      <c r="L7" t="s">
        <v>3283</v>
      </c>
      <c r="M7" t="s">
        <v>3284</v>
      </c>
      <c r="N7" t="s">
        <v>2546</v>
      </c>
      <c r="O7" t="s">
        <v>11</v>
      </c>
      <c r="P7" t="s">
        <v>638</v>
      </c>
      <c r="Q7" t="s">
        <v>13</v>
      </c>
      <c r="R7" t="s">
        <v>2771</v>
      </c>
      <c r="S7" t="s">
        <v>3429</v>
      </c>
    </row>
    <row r="8" spans="1:19">
      <c r="A8" t="s">
        <v>932</v>
      </c>
      <c r="B8" t="s">
        <v>934</v>
      </c>
      <c r="C8" t="s">
        <v>2160</v>
      </c>
      <c r="D8" t="s">
        <v>935</v>
      </c>
      <c r="E8" t="s">
        <v>935</v>
      </c>
      <c r="F8" t="s">
        <v>10</v>
      </c>
      <c r="G8" t="s">
        <v>100</v>
      </c>
      <c r="H8" t="s">
        <v>54</v>
      </c>
      <c r="I8" t="s">
        <v>4</v>
      </c>
      <c r="J8" t="s">
        <v>938</v>
      </c>
      <c r="K8" s="947">
        <v>44173</v>
      </c>
      <c r="L8" t="s">
        <v>3433</v>
      </c>
      <c r="M8" t="s">
        <v>3434</v>
      </c>
      <c r="N8" t="s">
        <v>2546</v>
      </c>
      <c r="O8" t="s">
        <v>11</v>
      </c>
      <c r="P8" t="s">
        <v>659</v>
      </c>
      <c r="Q8" t="s">
        <v>13</v>
      </c>
      <c r="R8" t="s">
        <v>633</v>
      </c>
      <c r="S8" t="s">
        <v>3425</v>
      </c>
    </row>
    <row r="9" spans="1:19">
      <c r="A9" t="s">
        <v>202</v>
      </c>
      <c r="B9" t="s">
        <v>1080</v>
      </c>
      <c r="C9" t="s">
        <v>189</v>
      </c>
      <c r="D9" t="s">
        <v>887</v>
      </c>
      <c r="E9" t="s">
        <v>887</v>
      </c>
      <c r="F9" t="s">
        <v>10</v>
      </c>
      <c r="G9" t="s">
        <v>100</v>
      </c>
      <c r="H9" t="s">
        <v>54</v>
      </c>
      <c r="I9" t="s">
        <v>4</v>
      </c>
      <c r="J9" t="s">
        <v>888</v>
      </c>
      <c r="K9" s="947">
        <v>44158</v>
      </c>
      <c r="L9" t="s">
        <v>889</v>
      </c>
      <c r="M9" t="s">
        <v>890</v>
      </c>
      <c r="N9" t="s">
        <v>2546</v>
      </c>
      <c r="O9" t="s">
        <v>11</v>
      </c>
      <c r="P9" t="s">
        <v>26</v>
      </c>
      <c r="Q9" t="s">
        <v>13</v>
      </c>
      <c r="R9" t="s">
        <v>2771</v>
      </c>
      <c r="S9" t="s">
        <v>3425</v>
      </c>
    </row>
    <row r="10" spans="1:19">
      <c r="A10" t="s">
        <v>2635</v>
      </c>
      <c r="B10" t="s">
        <v>2636</v>
      </c>
      <c r="C10" t="s">
        <v>2637</v>
      </c>
      <c r="D10" t="s">
        <v>2638</v>
      </c>
      <c r="E10" t="s">
        <v>2638</v>
      </c>
      <c r="F10" t="s">
        <v>10</v>
      </c>
      <c r="G10" t="s">
        <v>100</v>
      </c>
      <c r="H10" t="s">
        <v>54</v>
      </c>
      <c r="I10" t="s">
        <v>4</v>
      </c>
      <c r="J10" t="s">
        <v>2639</v>
      </c>
      <c r="K10" s="947">
        <v>44413</v>
      </c>
      <c r="L10" t="s">
        <v>2640</v>
      </c>
      <c r="M10" t="s">
        <v>2641</v>
      </c>
      <c r="N10" t="s">
        <v>2546</v>
      </c>
      <c r="O10" t="s">
        <v>5</v>
      </c>
      <c r="P10" t="s">
        <v>21</v>
      </c>
      <c r="Q10" t="s">
        <v>20</v>
      </c>
      <c r="R10" t="s">
        <v>498</v>
      </c>
      <c r="S10" t="s">
        <v>3425</v>
      </c>
    </row>
  </sheetData>
  <autoFilter ref="A1:S1" xr:uid="{00000000-0009-0000-0000-00000B000000}"/>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AR240"/>
  <sheetViews>
    <sheetView zoomScale="80" zoomScaleNormal="80" workbookViewId="0">
      <pane xSplit="4" ySplit="3" topLeftCell="E188" activePane="bottomRight" state="frozen"/>
      <selection activeCell="D149" sqref="D149:D156"/>
      <selection pane="topRight" activeCell="D149" sqref="D149:D156"/>
      <selection pane="bottomLeft" activeCell="D149" sqref="D149:D156"/>
      <selection pane="bottomRight" activeCell="D241" sqref="D241"/>
    </sheetView>
  </sheetViews>
  <sheetFormatPr defaultRowHeight="15" customHeight="1" outlineLevelCol="1"/>
  <cols>
    <col min="1" max="1" width="16" customWidth="1"/>
    <col min="2" max="2" width="15.5703125" customWidth="1"/>
    <col min="3" max="3" width="17.42578125" customWidth="1"/>
    <col min="4" max="4" width="39.140625" style="14" bestFit="1" customWidth="1"/>
    <col min="5" max="5" width="25.42578125" customWidth="1"/>
    <col min="6" max="6" width="12.140625" customWidth="1"/>
    <col min="7" max="7" width="9.140625" customWidth="1"/>
    <col min="8" max="8" width="15.42578125" customWidth="1"/>
    <col min="9" max="9" width="9.28515625" customWidth="1"/>
    <col min="10" max="10" width="5.28515625" hidden="1" customWidth="1"/>
    <col min="11" max="11" width="21.5703125" customWidth="1"/>
    <col min="12" max="12" width="17.140625" style="821" customWidth="1"/>
    <col min="13" max="13" width="18.28515625" customWidth="1"/>
    <col min="14" max="14" width="15.5703125" customWidth="1"/>
    <col min="15" max="15" width="28.5703125" customWidth="1"/>
    <col min="16" max="16" width="28.140625" customWidth="1"/>
    <col min="17" max="17" width="23.140625" customWidth="1"/>
    <col min="18" max="18" width="19.85546875" customWidth="1"/>
    <col min="19" max="19" width="15.28515625" customWidth="1"/>
    <col min="20" max="20" width="30.42578125" customWidth="1"/>
    <col min="21" max="21" width="12" customWidth="1"/>
    <col min="22" max="22" width="10.28515625" customWidth="1" outlineLevel="1"/>
    <col min="23" max="23" width="11.85546875" customWidth="1" outlineLevel="1"/>
    <col min="24" max="24" width="12.140625" customWidth="1" outlineLevel="1"/>
    <col min="25" max="25" width="12.28515625" customWidth="1" outlineLevel="1"/>
    <col min="26" max="27" width="12.85546875" customWidth="1" outlineLevel="1"/>
    <col min="28" max="28" width="10.7109375" customWidth="1" outlineLevel="1"/>
    <col min="29" max="29" width="14.140625" style="32" customWidth="1" outlineLevel="1"/>
    <col min="30" max="30" width="8.5703125" customWidth="1" outlineLevel="1"/>
    <col min="31" max="31" width="9" customWidth="1"/>
    <col min="32" max="32" width="15.7109375" customWidth="1" outlineLevel="1"/>
    <col min="33" max="33" width="15.85546875" style="32" customWidth="1" outlineLevel="1"/>
    <col min="34" max="34" width="19.5703125" style="32" bestFit="1" customWidth="1" outlineLevel="1"/>
    <col min="35" max="35" width="12.85546875" style="500" customWidth="1" outlineLevel="1"/>
    <col min="36" max="36" width="14" customWidth="1"/>
    <col min="37" max="37" width="12.140625" customWidth="1"/>
    <col min="38" max="38" width="14.140625" customWidth="1" outlineLevel="1"/>
    <col min="39" max="39" width="14" hidden="1" customWidth="1" outlineLevel="1"/>
    <col min="40" max="40" width="13.42578125" customWidth="1" collapsed="1"/>
    <col min="41" max="41" width="19.85546875" customWidth="1"/>
    <col min="42" max="42" width="35.28515625" customWidth="1"/>
    <col min="43" max="43" width="39.85546875" style="1" customWidth="1"/>
    <col min="44" max="44" width="42.5703125" style="1" customWidth="1"/>
    <col min="45" max="45" width="30.42578125" customWidth="1"/>
  </cols>
  <sheetData>
    <row r="1" spans="1:44" ht="15" customHeight="1">
      <c r="C1" s="14"/>
      <c r="D1"/>
      <c r="AB1" s="32"/>
      <c r="AC1"/>
      <c r="AF1" s="32"/>
      <c r="AG1" s="35"/>
      <c r="AH1" s="35"/>
      <c r="AP1" s="1"/>
      <c r="AR1"/>
    </row>
    <row r="2" spans="1:44" s="45" customFormat="1" ht="15" customHeight="1">
      <c r="A2" s="2"/>
      <c r="B2" s="2"/>
      <c r="C2" s="12"/>
      <c r="D2" s="2"/>
      <c r="E2" s="2"/>
      <c r="F2" s="2"/>
      <c r="G2" s="2"/>
      <c r="H2" s="2"/>
      <c r="I2" s="2"/>
      <c r="J2" s="2"/>
      <c r="K2" s="2"/>
      <c r="L2" s="28"/>
      <c r="M2" s="2"/>
      <c r="N2" s="2"/>
      <c r="O2" s="2"/>
      <c r="P2" s="2"/>
      <c r="Q2" s="2"/>
      <c r="R2" s="2"/>
      <c r="S2" s="2"/>
      <c r="T2" s="2"/>
      <c r="U2" s="2"/>
      <c r="V2" s="2"/>
      <c r="W2" s="2"/>
      <c r="X2" s="2"/>
      <c r="Y2" s="2"/>
      <c r="Z2" s="2"/>
      <c r="AA2" s="2"/>
      <c r="AB2" s="29"/>
      <c r="AC2" s="2"/>
      <c r="AD2" s="2"/>
      <c r="AE2" s="2"/>
      <c r="AF2" s="29"/>
      <c r="AG2" s="33"/>
      <c r="AH2" s="33"/>
      <c r="AI2" s="30"/>
      <c r="AJ2" s="26">
        <f ca="1">TODAY()</f>
        <v>44834</v>
      </c>
      <c r="AK2" s="26"/>
      <c r="AL2" s="2"/>
      <c r="AM2" s="2"/>
      <c r="AN2" s="2"/>
      <c r="AO2" s="2"/>
      <c r="AP2" s="44"/>
      <c r="AQ2" s="44"/>
      <c r="AR2" s="2"/>
    </row>
    <row r="3" spans="1:44" s="56" customFormat="1" ht="15" customHeight="1">
      <c r="A3" s="451" t="s">
        <v>65</v>
      </c>
      <c r="B3" s="452" t="s">
        <v>66</v>
      </c>
      <c r="C3" s="452" t="s">
        <v>67</v>
      </c>
      <c r="D3" s="452" t="s">
        <v>68</v>
      </c>
      <c r="E3" s="453" t="s">
        <v>69</v>
      </c>
      <c r="F3" s="454" t="s">
        <v>70</v>
      </c>
      <c r="G3" s="455" t="s">
        <v>71</v>
      </c>
      <c r="H3" s="452" t="s">
        <v>72</v>
      </c>
      <c r="I3" s="452" t="s">
        <v>73</v>
      </c>
      <c r="J3" s="456" t="s">
        <v>64</v>
      </c>
      <c r="K3" s="455" t="s">
        <v>74</v>
      </c>
      <c r="L3" s="822" t="s">
        <v>75</v>
      </c>
      <c r="M3" s="452" t="s">
        <v>76</v>
      </c>
      <c r="N3" s="452" t="s">
        <v>77</v>
      </c>
      <c r="O3" s="455" t="s">
        <v>78</v>
      </c>
      <c r="P3" s="452" t="s">
        <v>79</v>
      </c>
      <c r="Q3" s="452" t="s">
        <v>80</v>
      </c>
      <c r="R3" s="452" t="s">
        <v>81</v>
      </c>
      <c r="S3" s="452" t="s">
        <v>942</v>
      </c>
      <c r="T3" s="457" t="s">
        <v>82</v>
      </c>
      <c r="U3" s="458" t="s">
        <v>83</v>
      </c>
      <c r="V3" s="459" t="s">
        <v>84</v>
      </c>
      <c r="W3" s="460" t="s">
        <v>322</v>
      </c>
      <c r="X3" s="460" t="s">
        <v>85</v>
      </c>
      <c r="Y3" s="460" t="s">
        <v>220</v>
      </c>
      <c r="Z3" s="460" t="s">
        <v>86</v>
      </c>
      <c r="AA3" s="460" t="s">
        <v>320</v>
      </c>
      <c r="AB3" s="460" t="s">
        <v>87</v>
      </c>
      <c r="AC3" s="460" t="s">
        <v>321</v>
      </c>
      <c r="AD3" s="460" t="s">
        <v>88</v>
      </c>
      <c r="AE3" s="460" t="s">
        <v>89</v>
      </c>
      <c r="AF3" s="461" t="s">
        <v>92</v>
      </c>
      <c r="AG3" s="462" t="s">
        <v>93</v>
      </c>
      <c r="AH3" s="462" t="s">
        <v>2248</v>
      </c>
      <c r="AI3" s="499" t="s">
        <v>94</v>
      </c>
      <c r="AJ3" s="463" t="s">
        <v>95</v>
      </c>
      <c r="AK3" s="463" t="s">
        <v>96</v>
      </c>
      <c r="AL3" s="54" t="s">
        <v>2591</v>
      </c>
      <c r="AM3" s="55" t="s">
        <v>2598</v>
      </c>
      <c r="AN3" s="464" t="s">
        <v>97</v>
      </c>
      <c r="AO3" s="464" t="s">
        <v>98</v>
      </c>
      <c r="AP3" s="464" t="s">
        <v>99</v>
      </c>
      <c r="AQ3" s="464" t="s">
        <v>2298</v>
      </c>
      <c r="AR3" s="465" t="s">
        <v>2942</v>
      </c>
    </row>
    <row r="4" spans="1:44" ht="15" hidden="1" customHeight="1">
      <c r="A4" s="23" t="s">
        <v>225</v>
      </c>
      <c r="B4" s="2" t="s">
        <v>324</v>
      </c>
      <c r="C4" s="2" t="s">
        <v>415</v>
      </c>
      <c r="D4" s="36" t="s">
        <v>494</v>
      </c>
      <c r="E4" s="2" t="s">
        <v>494</v>
      </c>
      <c r="F4" s="2" t="s">
        <v>10</v>
      </c>
      <c r="G4" s="2" t="s">
        <v>100</v>
      </c>
      <c r="H4" s="2" t="s">
        <v>54</v>
      </c>
      <c r="I4" s="2" t="s">
        <v>4</v>
      </c>
      <c r="J4" s="46">
        <f>L4</f>
        <v>43710</v>
      </c>
      <c r="K4" s="2" t="s">
        <v>495</v>
      </c>
      <c r="L4" s="28">
        <v>43710</v>
      </c>
      <c r="M4" s="2" t="s">
        <v>496</v>
      </c>
      <c r="N4" s="2" t="s">
        <v>496</v>
      </c>
      <c r="O4" s="2"/>
      <c r="P4" s="2" t="s">
        <v>5</v>
      </c>
      <c r="Q4" s="2" t="s">
        <v>497</v>
      </c>
      <c r="R4" s="2" t="s">
        <v>13</v>
      </c>
      <c r="S4" s="61">
        <v>32</v>
      </c>
      <c r="T4" s="2"/>
      <c r="U4" s="2"/>
      <c r="V4" s="2"/>
      <c r="W4" s="2"/>
      <c r="X4" s="2"/>
      <c r="Y4" s="2" t="s">
        <v>498</v>
      </c>
      <c r="Z4" s="2"/>
      <c r="AA4" s="2"/>
      <c r="AB4" s="2"/>
      <c r="AC4" s="2"/>
      <c r="AD4" s="2"/>
      <c r="AE4" s="2"/>
      <c r="AF4" s="30">
        <v>44202</v>
      </c>
      <c r="AG4" s="34">
        <v>44202</v>
      </c>
      <c r="AH4" s="34">
        <v>44232</v>
      </c>
      <c r="AI4" s="30"/>
      <c r="AJ4" s="61">
        <f ca="1">IF(Table13[[#This Row],[RFC Remark]]="DONE",Table13[[#This Row],[RFC Date]]-Table13[[#This Row],[STIP Date]],$AJ$2-Table13[[#This Row],[STIP Date]])</f>
        <v>1124</v>
      </c>
      <c r="AK4" s="2"/>
      <c r="AL4" s="2"/>
      <c r="AM4" s="2"/>
      <c r="AN4" s="2" t="s">
        <v>313</v>
      </c>
      <c r="AO4" s="2"/>
      <c r="AP4" s="44"/>
      <c r="AQ4" s="44"/>
      <c r="AR4" s="2"/>
    </row>
    <row r="5" spans="1:44" ht="15" hidden="1" customHeight="1">
      <c r="A5" s="24" t="s">
        <v>226</v>
      </c>
      <c r="B5" s="2" t="s">
        <v>325</v>
      </c>
      <c r="C5" s="2" t="s">
        <v>416</v>
      </c>
      <c r="D5" s="36" t="s">
        <v>499</v>
      </c>
      <c r="E5" s="2" t="s">
        <v>499</v>
      </c>
      <c r="F5" s="2" t="s">
        <v>10</v>
      </c>
      <c r="G5" s="2" t="s">
        <v>100</v>
      </c>
      <c r="H5" s="2" t="s">
        <v>54</v>
      </c>
      <c r="I5" s="2" t="s">
        <v>4</v>
      </c>
      <c r="J5" s="46">
        <f>L5</f>
        <v>43710</v>
      </c>
      <c r="K5" s="2" t="s">
        <v>500</v>
      </c>
      <c r="L5" s="28">
        <v>43710</v>
      </c>
      <c r="M5" s="2" t="s">
        <v>501</v>
      </c>
      <c r="N5" s="2" t="s">
        <v>501</v>
      </c>
      <c r="O5" s="2"/>
      <c r="P5" s="2" t="s">
        <v>11</v>
      </c>
      <c r="Q5" s="2" t="s">
        <v>19</v>
      </c>
      <c r="R5" s="2" t="s">
        <v>20</v>
      </c>
      <c r="S5" s="61">
        <v>32</v>
      </c>
      <c r="T5" s="2"/>
      <c r="U5" s="2"/>
      <c r="V5" s="2"/>
      <c r="W5" s="2"/>
      <c r="X5" s="2"/>
      <c r="Y5" s="2" t="s">
        <v>498</v>
      </c>
      <c r="Z5" s="2"/>
      <c r="AA5" s="2"/>
      <c r="AB5" s="2"/>
      <c r="AC5" s="2"/>
      <c r="AD5" s="2"/>
      <c r="AE5" s="2"/>
      <c r="AF5" s="30">
        <v>44202</v>
      </c>
      <c r="AG5" s="34">
        <v>44202</v>
      </c>
      <c r="AH5" s="34">
        <v>44232</v>
      </c>
      <c r="AI5" s="30"/>
      <c r="AJ5" s="61">
        <f ca="1">IF(Table13[[#This Row],[RFC Remark]]="DONE",Table13[[#This Row],[RFC Date]]-Table13[[#This Row],[STIP Date]],$AJ$2-Table13[[#This Row],[STIP Date]])</f>
        <v>1124</v>
      </c>
      <c r="AK5" s="2"/>
      <c r="AL5" s="2"/>
      <c r="AM5" s="2"/>
      <c r="AN5" s="2" t="s">
        <v>313</v>
      </c>
      <c r="AO5" s="2"/>
      <c r="AP5" s="44"/>
      <c r="AQ5" s="44"/>
      <c r="AR5" s="2"/>
    </row>
    <row r="6" spans="1:44" ht="15" hidden="1" customHeight="1">
      <c r="A6" s="24" t="s">
        <v>227</v>
      </c>
      <c r="B6" s="2" t="s">
        <v>326</v>
      </c>
      <c r="C6" s="2" t="s">
        <v>417</v>
      </c>
      <c r="D6" s="36" t="s">
        <v>502</v>
      </c>
      <c r="E6" s="2" t="s">
        <v>502</v>
      </c>
      <c r="F6" s="2" t="s">
        <v>2</v>
      </c>
      <c r="G6" s="2" t="s">
        <v>100</v>
      </c>
      <c r="H6" s="2" t="s">
        <v>54</v>
      </c>
      <c r="I6" s="2" t="s">
        <v>4</v>
      </c>
      <c r="J6" s="46">
        <f>L6</f>
        <v>43789</v>
      </c>
      <c r="K6" s="2" t="s">
        <v>503</v>
      </c>
      <c r="L6" s="28">
        <v>43789</v>
      </c>
      <c r="M6" s="2" t="s">
        <v>504</v>
      </c>
      <c r="N6" s="2" t="s">
        <v>504</v>
      </c>
      <c r="O6" s="2"/>
      <c r="P6" s="2" t="s">
        <v>5</v>
      </c>
      <c r="Q6" s="2" t="s">
        <v>505</v>
      </c>
      <c r="R6" s="2" t="s">
        <v>7</v>
      </c>
      <c r="S6" s="61">
        <v>30</v>
      </c>
      <c r="T6" s="2"/>
      <c r="U6" s="2"/>
      <c r="V6" s="2"/>
      <c r="W6" s="2"/>
      <c r="X6" s="2"/>
      <c r="Y6" s="2" t="s">
        <v>506</v>
      </c>
      <c r="Z6" s="2"/>
      <c r="AA6" s="2"/>
      <c r="AB6" s="2"/>
      <c r="AC6" s="2"/>
      <c r="AD6" s="2"/>
      <c r="AE6" s="2"/>
      <c r="AF6" s="30">
        <v>44202</v>
      </c>
      <c r="AG6" s="34">
        <v>44202</v>
      </c>
      <c r="AH6" s="34">
        <v>44232</v>
      </c>
      <c r="AI6" s="30"/>
      <c r="AJ6" s="61">
        <f ca="1">IF(Table13[[#This Row],[RFC Remark]]="DONE",Table13[[#This Row],[RFC Date]]-Table13[[#This Row],[STIP Date]],$AJ$2-Table13[[#This Row],[STIP Date]])</f>
        <v>1045</v>
      </c>
      <c r="AK6" s="2"/>
      <c r="AL6" s="2"/>
      <c r="AM6" s="2"/>
      <c r="AN6" s="2" t="s">
        <v>313</v>
      </c>
      <c r="AO6" s="2"/>
      <c r="AP6" s="44"/>
      <c r="AQ6" s="44"/>
      <c r="AR6" s="2"/>
    </row>
    <row r="7" spans="1:44" ht="15" hidden="1" customHeight="1">
      <c r="A7" s="23" t="s">
        <v>228</v>
      </c>
      <c r="B7" s="2" t="s">
        <v>327</v>
      </c>
      <c r="C7" s="2" t="s">
        <v>418</v>
      </c>
      <c r="D7" s="36" t="s">
        <v>507</v>
      </c>
      <c r="E7" s="2" t="s">
        <v>507</v>
      </c>
      <c r="F7" s="2" t="s">
        <v>2</v>
      </c>
      <c r="G7" s="2" t="s">
        <v>100</v>
      </c>
      <c r="H7" s="2" t="s">
        <v>54</v>
      </c>
      <c r="I7" s="2" t="s">
        <v>4</v>
      </c>
      <c r="J7" s="46">
        <f>L7</f>
        <v>43789</v>
      </c>
      <c r="K7" s="2" t="s">
        <v>508</v>
      </c>
      <c r="L7" s="28">
        <v>43789</v>
      </c>
      <c r="M7" s="2" t="s">
        <v>509</v>
      </c>
      <c r="N7" s="2" t="s">
        <v>509</v>
      </c>
      <c r="O7" s="2"/>
      <c r="P7" s="2" t="s">
        <v>5</v>
      </c>
      <c r="Q7" s="2" t="s">
        <v>505</v>
      </c>
      <c r="R7" s="2" t="s">
        <v>7</v>
      </c>
      <c r="S7" s="61">
        <v>20</v>
      </c>
      <c r="T7" s="2"/>
      <c r="U7" s="2"/>
      <c r="V7" s="2"/>
      <c r="W7" s="2"/>
      <c r="X7" s="2"/>
      <c r="Y7" s="2" t="s">
        <v>510</v>
      </c>
      <c r="Z7" s="2"/>
      <c r="AA7" s="2"/>
      <c r="AB7" s="2"/>
      <c r="AC7" s="2"/>
      <c r="AD7" s="2"/>
      <c r="AE7" s="2"/>
      <c r="AF7" s="30">
        <v>44202</v>
      </c>
      <c r="AG7" s="34">
        <v>44202</v>
      </c>
      <c r="AH7" s="34">
        <v>44232</v>
      </c>
      <c r="AI7" s="30"/>
      <c r="AJ7" s="61">
        <f ca="1">IF(Table13[[#This Row],[RFC Remark]]="DONE",Table13[[#This Row],[RFC Date]]-Table13[[#This Row],[STIP Date]],$AJ$2-Table13[[#This Row],[STIP Date]])</f>
        <v>1045</v>
      </c>
      <c r="AK7" s="2"/>
      <c r="AL7" s="2"/>
      <c r="AM7" s="2"/>
      <c r="AN7" s="2" t="s">
        <v>313</v>
      </c>
      <c r="AO7" s="2"/>
      <c r="AP7" s="44"/>
      <c r="AQ7" s="44"/>
      <c r="AR7" s="2"/>
    </row>
    <row r="8" spans="1:44" ht="15" hidden="1" customHeight="1">
      <c r="A8" s="24" t="s">
        <v>229</v>
      </c>
      <c r="B8" s="2" t="s">
        <v>328</v>
      </c>
      <c r="C8" s="2" t="s">
        <v>419</v>
      </c>
      <c r="D8" s="36" t="s">
        <v>511</v>
      </c>
      <c r="E8" s="2" t="s">
        <v>511</v>
      </c>
      <c r="F8" s="2" t="s">
        <v>2</v>
      </c>
      <c r="G8" s="2" t="s">
        <v>100</v>
      </c>
      <c r="H8" s="2" t="s">
        <v>54</v>
      </c>
      <c r="I8" s="2" t="s">
        <v>4</v>
      </c>
      <c r="J8" s="46">
        <f>L8</f>
        <v>43789</v>
      </c>
      <c r="K8" s="2" t="s">
        <v>512</v>
      </c>
      <c r="L8" s="28">
        <v>43789</v>
      </c>
      <c r="M8" s="2" t="s">
        <v>513</v>
      </c>
      <c r="N8" s="2" t="s">
        <v>513</v>
      </c>
      <c r="O8" s="2"/>
      <c r="P8" s="2" t="s">
        <v>5</v>
      </c>
      <c r="Q8" s="2" t="s">
        <v>35</v>
      </c>
      <c r="R8" s="2" t="s">
        <v>7</v>
      </c>
      <c r="S8" s="541">
        <v>40</v>
      </c>
      <c r="T8" s="2"/>
      <c r="U8" s="2"/>
      <c r="V8" s="2"/>
      <c r="W8" s="2"/>
      <c r="X8" s="2"/>
      <c r="Y8" s="2" t="s">
        <v>514</v>
      </c>
      <c r="Z8" s="2"/>
      <c r="AA8" s="2"/>
      <c r="AB8" s="2"/>
      <c r="AC8" s="2"/>
      <c r="AD8" s="2"/>
      <c r="AE8" s="2"/>
      <c r="AF8" s="30">
        <v>44202</v>
      </c>
      <c r="AG8" s="34">
        <v>44202</v>
      </c>
      <c r="AH8" s="34">
        <v>44232</v>
      </c>
      <c r="AI8" s="30"/>
      <c r="AJ8" s="61">
        <f ca="1">IF(Table13[[#This Row],[RFC Remark]]="DONE",Table13[[#This Row],[RFC Date]]-Table13[[#This Row],[STIP Date]],$AJ$2-Table13[[#This Row],[STIP Date]])</f>
        <v>1045</v>
      </c>
      <c r="AK8" s="2"/>
      <c r="AL8" s="2"/>
      <c r="AM8" s="2"/>
      <c r="AN8" s="2" t="s">
        <v>313</v>
      </c>
      <c r="AO8" s="2"/>
      <c r="AP8" s="44"/>
      <c r="AQ8" s="44"/>
      <c r="AR8" s="2"/>
    </row>
    <row r="9" spans="1:44" ht="15" customHeight="1">
      <c r="A9" s="9" t="s">
        <v>61</v>
      </c>
      <c r="B9" s="9" t="s">
        <v>145</v>
      </c>
      <c r="C9" s="19" t="s">
        <v>146</v>
      </c>
      <c r="D9" s="4" t="s">
        <v>62</v>
      </c>
      <c r="E9" s="4" t="s">
        <v>62</v>
      </c>
      <c r="F9" s="4" t="s">
        <v>10</v>
      </c>
      <c r="G9" s="4" t="s">
        <v>100</v>
      </c>
      <c r="H9" s="6" t="s">
        <v>54</v>
      </c>
      <c r="I9" s="6" t="s">
        <v>4</v>
      </c>
      <c r="J9" s="47">
        <v>2020</v>
      </c>
      <c r="K9" s="5" t="s">
        <v>517</v>
      </c>
      <c r="L9" s="7">
        <v>43829</v>
      </c>
      <c r="M9" s="5" t="s">
        <v>518</v>
      </c>
      <c r="N9" s="5" t="s">
        <v>519</v>
      </c>
      <c r="O9" s="5"/>
      <c r="P9" s="4" t="s">
        <v>11</v>
      </c>
      <c r="Q9" s="4" t="s">
        <v>19</v>
      </c>
      <c r="R9" s="539" t="s">
        <v>20</v>
      </c>
      <c r="S9" s="63">
        <v>42</v>
      </c>
      <c r="T9" s="5" t="s">
        <v>520</v>
      </c>
      <c r="U9" s="5"/>
      <c r="V9" s="5"/>
      <c r="W9" s="5"/>
      <c r="X9" s="5"/>
      <c r="Y9" s="5"/>
      <c r="Z9" s="5"/>
      <c r="AA9" s="5"/>
      <c r="AB9" s="5"/>
      <c r="AC9" s="5"/>
      <c r="AD9" s="5" t="s">
        <v>319</v>
      </c>
      <c r="AE9" s="5" t="s">
        <v>171</v>
      </c>
      <c r="AF9" s="31" t="s">
        <v>167</v>
      </c>
      <c r="AG9" s="34" t="s">
        <v>167</v>
      </c>
      <c r="AH9" s="34" t="e">
        <v>#VALUE!</v>
      </c>
      <c r="AI9" s="501">
        <v>44155</v>
      </c>
      <c r="AJ9" s="63">
        <f>IF(Table13[[#This Row],[RFC Remark]]="DONE",Table13[[#This Row],[RFC Date]]-Table13[[#This Row],[STIP Date]],$AJ$2-Table13[[#This Row],[STIP Date]])</f>
        <v>326</v>
      </c>
      <c r="AK9" s="5" t="s">
        <v>167</v>
      </c>
      <c r="AL9" s="5"/>
      <c r="AM9" s="5"/>
      <c r="AN9" s="5" t="s">
        <v>311</v>
      </c>
      <c r="AO9" s="5" t="s">
        <v>173</v>
      </c>
      <c r="AP9" s="43"/>
      <c r="AQ9" s="43"/>
      <c r="AR9" s="5"/>
    </row>
    <row r="10" spans="1:44" ht="15" customHeight="1">
      <c r="A10" s="9" t="s">
        <v>1070</v>
      </c>
      <c r="B10" s="9" t="s">
        <v>1071</v>
      </c>
      <c r="C10" s="16" t="s">
        <v>1073</v>
      </c>
      <c r="D10" s="4" t="s">
        <v>1074</v>
      </c>
      <c r="E10" s="4" t="s">
        <v>1075</v>
      </c>
      <c r="F10" s="4" t="s">
        <v>2</v>
      </c>
      <c r="G10" s="4" t="s">
        <v>100</v>
      </c>
      <c r="H10" s="4" t="s">
        <v>16</v>
      </c>
      <c r="I10" s="4" t="s">
        <v>4</v>
      </c>
      <c r="J10" s="47"/>
      <c r="K10" s="2" t="s">
        <v>1076</v>
      </c>
      <c r="L10" s="27">
        <v>43844</v>
      </c>
      <c r="M10" s="2" t="s">
        <v>1077</v>
      </c>
      <c r="N10" s="2" t="s">
        <v>1078</v>
      </c>
      <c r="O10" s="5"/>
      <c r="P10" s="2" t="s">
        <v>5</v>
      </c>
      <c r="Q10" s="2" t="s">
        <v>1079</v>
      </c>
      <c r="R10" s="2" t="s">
        <v>7</v>
      </c>
      <c r="S10" s="544">
        <v>20</v>
      </c>
      <c r="T10" s="5" t="s">
        <v>169</v>
      </c>
      <c r="U10" s="8" t="s">
        <v>165</v>
      </c>
      <c r="V10" s="5"/>
      <c r="W10" s="5">
        <v>-6.2324599999999997</v>
      </c>
      <c r="X10" s="5">
        <v>106.78104999999999</v>
      </c>
      <c r="Y10" s="41">
        <v>20</v>
      </c>
      <c r="Z10" s="40">
        <v>20</v>
      </c>
      <c r="AA10" s="39">
        <v>44152</v>
      </c>
      <c r="AB10" s="40"/>
      <c r="AC10" s="39"/>
      <c r="AD10" s="5" t="s">
        <v>1405</v>
      </c>
      <c r="AE10" s="5" t="s">
        <v>171</v>
      </c>
      <c r="AF10" s="31" t="s">
        <v>167</v>
      </c>
      <c r="AG10" s="34" t="s">
        <v>167</v>
      </c>
      <c r="AH10" s="34" t="e">
        <v>#VALUE!</v>
      </c>
      <c r="AI10" s="501">
        <v>44167</v>
      </c>
      <c r="AJ10" s="63">
        <f>IF(Table13[[#This Row],[RFC Remark]]="DONE",Table13[[#This Row],[RFC Date]]-Table13[[#This Row],[STIP Date]],$AJ$2-Table13[[#This Row],[STIP Date]])</f>
        <v>323</v>
      </c>
      <c r="AK10" s="5" t="s">
        <v>167</v>
      </c>
      <c r="AL10" s="5"/>
      <c r="AM10" s="5"/>
      <c r="AN10" s="5" t="s">
        <v>311</v>
      </c>
      <c r="AO10" s="5" t="s">
        <v>173</v>
      </c>
      <c r="AP10" s="43"/>
      <c r="AQ10" s="43"/>
      <c r="AR10" s="5"/>
    </row>
    <row r="11" spans="1:44" ht="15" hidden="1" customHeight="1">
      <c r="A11" s="20" t="s">
        <v>184</v>
      </c>
      <c r="B11" s="18">
        <v>1260541023</v>
      </c>
      <c r="C11" s="19" t="s">
        <v>182</v>
      </c>
      <c r="D11" s="10" t="s">
        <v>183</v>
      </c>
      <c r="E11" s="10" t="s">
        <v>183</v>
      </c>
      <c r="F11" s="10" t="s">
        <v>10</v>
      </c>
      <c r="G11" s="11" t="s">
        <v>100</v>
      </c>
      <c r="H11" s="11" t="s">
        <v>54</v>
      </c>
      <c r="I11" s="11" t="s">
        <v>4</v>
      </c>
      <c r="J11" s="47">
        <v>2019</v>
      </c>
      <c r="K11" s="5" t="s">
        <v>185</v>
      </c>
      <c r="L11" s="21">
        <v>43829</v>
      </c>
      <c r="M11" s="19">
        <v>-6.5545109999999998</v>
      </c>
      <c r="N11" s="19">
        <v>106.830951</v>
      </c>
      <c r="O11" s="5"/>
      <c r="P11" s="5" t="s">
        <v>11</v>
      </c>
      <c r="Q11" s="5" t="s">
        <v>26</v>
      </c>
      <c r="R11" s="5" t="s">
        <v>13</v>
      </c>
      <c r="S11" s="22">
        <v>35</v>
      </c>
      <c r="T11" s="5"/>
      <c r="U11" s="5"/>
      <c r="V11" s="5"/>
      <c r="W11" s="5"/>
      <c r="X11" s="5"/>
      <c r="Y11" s="5">
        <v>35</v>
      </c>
      <c r="Z11" s="5"/>
      <c r="AA11" s="5"/>
      <c r="AB11" s="5"/>
      <c r="AC11" s="5"/>
      <c r="AD11" s="5" t="s">
        <v>319</v>
      </c>
      <c r="AE11" s="5" t="s">
        <v>171</v>
      </c>
      <c r="AF11" s="31">
        <v>44202</v>
      </c>
      <c r="AG11" s="34">
        <v>44202</v>
      </c>
      <c r="AH11" s="34">
        <v>44232</v>
      </c>
      <c r="AI11" s="31"/>
      <c r="AJ11" s="22">
        <f ca="1">IF(Table13[[#This Row],[RFC Remark]]="DONE",Table13[[#This Row],[RFC Date]]-Table13[[#This Row],[STIP Date]],$AJ$2-Table13[[#This Row],[STIP Date]])</f>
        <v>1005</v>
      </c>
      <c r="AK11" s="5"/>
      <c r="AL11" s="5"/>
      <c r="AM11" s="5"/>
      <c r="AN11" s="5" t="s">
        <v>313</v>
      </c>
      <c r="AO11" s="5" t="s">
        <v>224</v>
      </c>
      <c r="AP11" s="43"/>
      <c r="AQ11" s="43"/>
      <c r="AR11" s="5"/>
    </row>
    <row r="12" spans="1:44" ht="15" hidden="1" customHeight="1">
      <c r="A12" s="23" t="s">
        <v>230</v>
      </c>
      <c r="B12" s="2" t="s">
        <v>329</v>
      </c>
      <c r="C12" s="2" t="s">
        <v>420</v>
      </c>
      <c r="D12" s="36" t="s">
        <v>521</v>
      </c>
      <c r="E12" s="2" t="s">
        <v>521</v>
      </c>
      <c r="F12" s="2" t="s">
        <v>10</v>
      </c>
      <c r="G12" s="2" t="s">
        <v>100</v>
      </c>
      <c r="H12" s="2" t="s">
        <v>54</v>
      </c>
      <c r="I12" s="2" t="s">
        <v>4</v>
      </c>
      <c r="J12" s="46">
        <f t="shared" ref="J12:J23" si="0">L12</f>
        <v>43829</v>
      </c>
      <c r="K12" s="2" t="s">
        <v>522</v>
      </c>
      <c r="L12" s="28">
        <v>43829</v>
      </c>
      <c r="M12" s="2" t="s">
        <v>523</v>
      </c>
      <c r="N12" s="2" t="s">
        <v>523</v>
      </c>
      <c r="O12" s="2"/>
      <c r="P12" s="2" t="s">
        <v>11</v>
      </c>
      <c r="Q12" s="2" t="s">
        <v>29</v>
      </c>
      <c r="R12" s="2" t="s">
        <v>20</v>
      </c>
      <c r="S12" s="61">
        <v>25</v>
      </c>
      <c r="T12" s="2"/>
      <c r="U12" s="2"/>
      <c r="V12" s="2"/>
      <c r="W12" s="2"/>
      <c r="X12" s="2"/>
      <c r="Y12" s="2" t="s">
        <v>524</v>
      </c>
      <c r="Z12" s="2"/>
      <c r="AA12" s="2"/>
      <c r="AB12" s="2"/>
      <c r="AC12" s="2"/>
      <c r="AD12" s="2"/>
      <c r="AE12" s="2"/>
      <c r="AF12" s="30">
        <v>44202</v>
      </c>
      <c r="AG12" s="34">
        <v>44202</v>
      </c>
      <c r="AH12" s="34">
        <v>44232</v>
      </c>
      <c r="AI12" s="30"/>
      <c r="AJ12" s="61">
        <f ca="1">IF(Table13[[#This Row],[RFC Remark]]="DONE",Table13[[#This Row],[RFC Date]]-Table13[[#This Row],[STIP Date]],$AJ$2-Table13[[#This Row],[STIP Date]])</f>
        <v>1005</v>
      </c>
      <c r="AK12" s="2"/>
      <c r="AL12" s="2"/>
      <c r="AM12" s="2"/>
      <c r="AN12" s="2" t="s">
        <v>313</v>
      </c>
      <c r="AO12" s="2"/>
      <c r="AP12" s="44"/>
      <c r="AQ12" s="44"/>
      <c r="AR12" s="2"/>
    </row>
    <row r="13" spans="1:44" ht="15" hidden="1" customHeight="1">
      <c r="A13" s="24" t="s">
        <v>231</v>
      </c>
      <c r="B13" s="2" t="s">
        <v>330</v>
      </c>
      <c r="C13" s="2" t="s">
        <v>421</v>
      </c>
      <c r="D13" s="36" t="s">
        <v>525</v>
      </c>
      <c r="E13" s="2" t="s">
        <v>525</v>
      </c>
      <c r="F13" s="2" t="s">
        <v>10</v>
      </c>
      <c r="G13" s="2" t="s">
        <v>100</v>
      </c>
      <c r="H13" s="2" t="s">
        <v>54</v>
      </c>
      <c r="I13" s="2" t="s">
        <v>4</v>
      </c>
      <c r="J13" s="46">
        <f t="shared" si="0"/>
        <v>43829</v>
      </c>
      <c r="K13" s="2" t="s">
        <v>526</v>
      </c>
      <c r="L13" s="28">
        <v>43829</v>
      </c>
      <c r="M13" s="2" t="s">
        <v>527</v>
      </c>
      <c r="N13" s="2" t="s">
        <v>527</v>
      </c>
      <c r="O13" s="2"/>
      <c r="P13" s="2" t="s">
        <v>11</v>
      </c>
      <c r="Q13" s="2" t="s">
        <v>53</v>
      </c>
      <c r="R13" s="2" t="s">
        <v>13</v>
      </c>
      <c r="S13" s="61">
        <v>27</v>
      </c>
      <c r="T13" s="2"/>
      <c r="U13" s="2"/>
      <c r="V13" s="2"/>
      <c r="W13" s="2"/>
      <c r="X13" s="2"/>
      <c r="Y13" s="2" t="s">
        <v>528</v>
      </c>
      <c r="Z13" s="2"/>
      <c r="AA13" s="2"/>
      <c r="AB13" s="2"/>
      <c r="AC13" s="2"/>
      <c r="AD13" s="2"/>
      <c r="AE13" s="2"/>
      <c r="AF13" s="30">
        <v>44202</v>
      </c>
      <c r="AG13" s="34">
        <v>44202</v>
      </c>
      <c r="AH13" s="34">
        <v>44232</v>
      </c>
      <c r="AI13" s="30"/>
      <c r="AJ13" s="61">
        <f ca="1">IF(Table13[[#This Row],[RFC Remark]]="DONE",Table13[[#This Row],[RFC Date]]-Table13[[#This Row],[STIP Date]],$AJ$2-Table13[[#This Row],[STIP Date]])</f>
        <v>1005</v>
      </c>
      <c r="AK13" s="2"/>
      <c r="AL13" s="2"/>
      <c r="AM13" s="2"/>
      <c r="AN13" s="2" t="s">
        <v>313</v>
      </c>
      <c r="AO13" s="2"/>
      <c r="AP13" s="44"/>
      <c r="AQ13" s="44"/>
      <c r="AR13" s="2"/>
    </row>
    <row r="14" spans="1:44" ht="15" hidden="1" customHeight="1">
      <c r="A14" s="23" t="s">
        <v>232</v>
      </c>
      <c r="B14" s="2" t="s">
        <v>331</v>
      </c>
      <c r="C14" s="2" t="s">
        <v>422</v>
      </c>
      <c r="D14" s="36" t="s">
        <v>529</v>
      </c>
      <c r="E14" s="2" t="s">
        <v>529</v>
      </c>
      <c r="F14" s="2" t="s">
        <v>10</v>
      </c>
      <c r="G14" s="2" t="s">
        <v>100</v>
      </c>
      <c r="H14" s="2" t="s">
        <v>54</v>
      </c>
      <c r="I14" s="2" t="s">
        <v>4</v>
      </c>
      <c r="J14" s="46">
        <f t="shared" si="0"/>
        <v>43829</v>
      </c>
      <c r="K14" s="2" t="s">
        <v>530</v>
      </c>
      <c r="L14" s="28">
        <v>43829</v>
      </c>
      <c r="M14" s="2" t="s">
        <v>531</v>
      </c>
      <c r="N14" s="2" t="s">
        <v>531</v>
      </c>
      <c r="O14" s="2"/>
      <c r="P14" s="2" t="s">
        <v>11</v>
      </c>
      <c r="Q14" s="2" t="s">
        <v>26</v>
      </c>
      <c r="R14" s="2" t="s">
        <v>13</v>
      </c>
      <c r="S14" s="61">
        <v>30</v>
      </c>
      <c r="T14" s="2"/>
      <c r="U14" s="2"/>
      <c r="V14" s="2"/>
      <c r="W14" s="2"/>
      <c r="X14" s="2"/>
      <c r="Y14" s="2" t="s">
        <v>506</v>
      </c>
      <c r="Z14" s="2"/>
      <c r="AA14" s="2"/>
      <c r="AB14" s="2"/>
      <c r="AC14" s="2"/>
      <c r="AD14" s="2"/>
      <c r="AE14" s="2"/>
      <c r="AF14" s="30">
        <v>44202</v>
      </c>
      <c r="AG14" s="34">
        <v>44202</v>
      </c>
      <c r="AH14" s="34">
        <v>44232</v>
      </c>
      <c r="AI14" s="30"/>
      <c r="AJ14" s="61">
        <f ca="1">IF(Table13[[#This Row],[RFC Remark]]="DONE",Table13[[#This Row],[RFC Date]]-Table13[[#This Row],[STIP Date]],$AJ$2-Table13[[#This Row],[STIP Date]])</f>
        <v>1005</v>
      </c>
      <c r="AK14" s="2"/>
      <c r="AL14" s="2"/>
      <c r="AM14" s="2"/>
      <c r="AN14" s="2" t="s">
        <v>313</v>
      </c>
      <c r="AO14" s="2"/>
      <c r="AP14" s="44"/>
      <c r="AQ14" s="44"/>
      <c r="AR14" s="2"/>
    </row>
    <row r="15" spans="1:44" ht="15" hidden="1" customHeight="1">
      <c r="A15" s="24" t="s">
        <v>233</v>
      </c>
      <c r="B15" s="2" t="s">
        <v>332</v>
      </c>
      <c r="C15" s="2" t="s">
        <v>423</v>
      </c>
      <c r="D15" s="2" t="s">
        <v>532</v>
      </c>
      <c r="E15" s="2" t="s">
        <v>532</v>
      </c>
      <c r="F15" s="2" t="s">
        <v>10</v>
      </c>
      <c r="G15" s="2" t="s">
        <v>100</v>
      </c>
      <c r="H15" s="2" t="s">
        <v>54</v>
      </c>
      <c r="I15" s="2" t="s">
        <v>4</v>
      </c>
      <c r="J15" s="46">
        <f t="shared" si="0"/>
        <v>43829</v>
      </c>
      <c r="K15" s="2" t="s">
        <v>533</v>
      </c>
      <c r="L15" s="28">
        <v>43829</v>
      </c>
      <c r="M15" s="2" t="s">
        <v>534</v>
      </c>
      <c r="N15" s="2" t="s">
        <v>534</v>
      </c>
      <c r="O15" s="2"/>
      <c r="P15" s="2" t="s">
        <v>11</v>
      </c>
      <c r="Q15" s="2" t="s">
        <v>29</v>
      </c>
      <c r="R15" s="2" t="s">
        <v>20</v>
      </c>
      <c r="S15" s="61">
        <v>30</v>
      </c>
      <c r="T15" s="2"/>
      <c r="U15" s="2"/>
      <c r="V15" s="2"/>
      <c r="W15" s="2"/>
      <c r="X15" s="2"/>
      <c r="Y15" s="2" t="s">
        <v>506</v>
      </c>
      <c r="Z15" s="2"/>
      <c r="AA15" s="2"/>
      <c r="AB15" s="2"/>
      <c r="AC15" s="2"/>
      <c r="AD15" s="2"/>
      <c r="AE15" s="2"/>
      <c r="AF15" s="30">
        <v>44202</v>
      </c>
      <c r="AG15" s="34">
        <v>44202</v>
      </c>
      <c r="AH15" s="34">
        <v>44232</v>
      </c>
      <c r="AI15" s="30"/>
      <c r="AJ15" s="61">
        <f ca="1">IF(Table13[[#This Row],[RFC Remark]]="DONE",Table13[[#This Row],[RFC Date]]-Table13[[#This Row],[STIP Date]],$AJ$2-Table13[[#This Row],[STIP Date]])</f>
        <v>1005</v>
      </c>
      <c r="AK15" s="2"/>
      <c r="AL15" s="2"/>
      <c r="AM15" s="5"/>
      <c r="AN15" s="5" t="s">
        <v>313</v>
      </c>
      <c r="AO15" s="2" t="s">
        <v>224</v>
      </c>
      <c r="AP15" s="44" t="s">
        <v>1036</v>
      </c>
      <c r="AQ15" s="44"/>
      <c r="AR15" s="2" t="s">
        <v>1037</v>
      </c>
    </row>
    <row r="16" spans="1:44" ht="15" hidden="1" customHeight="1">
      <c r="A16" s="23" t="s">
        <v>234</v>
      </c>
      <c r="B16" s="2" t="s">
        <v>333</v>
      </c>
      <c r="C16" s="2" t="s">
        <v>424</v>
      </c>
      <c r="D16" s="36" t="s">
        <v>535</v>
      </c>
      <c r="E16" s="2" t="s">
        <v>535</v>
      </c>
      <c r="F16" s="2" t="s">
        <v>10</v>
      </c>
      <c r="G16" s="2" t="s">
        <v>100</v>
      </c>
      <c r="H16" s="2" t="s">
        <v>54</v>
      </c>
      <c r="I16" s="2" t="s">
        <v>4</v>
      </c>
      <c r="J16" s="46">
        <f t="shared" si="0"/>
        <v>43829</v>
      </c>
      <c r="K16" s="2" t="s">
        <v>536</v>
      </c>
      <c r="L16" s="28">
        <v>43829</v>
      </c>
      <c r="M16" s="2" t="s">
        <v>537</v>
      </c>
      <c r="N16" s="2" t="s">
        <v>537</v>
      </c>
      <c r="O16" s="2"/>
      <c r="P16" s="2" t="s">
        <v>5</v>
      </c>
      <c r="Q16" s="2" t="s">
        <v>497</v>
      </c>
      <c r="R16" s="2" t="s">
        <v>13</v>
      </c>
      <c r="S16" s="61">
        <v>25</v>
      </c>
      <c r="T16" s="2"/>
      <c r="U16" s="2"/>
      <c r="V16" s="2"/>
      <c r="W16" s="2"/>
      <c r="X16" s="2"/>
      <c r="Y16" s="2" t="s">
        <v>524</v>
      </c>
      <c r="Z16" s="2"/>
      <c r="AA16" s="2"/>
      <c r="AB16" s="2"/>
      <c r="AC16" s="2"/>
      <c r="AD16" s="2"/>
      <c r="AE16" s="2"/>
      <c r="AF16" s="30">
        <v>44202</v>
      </c>
      <c r="AG16" s="34">
        <v>44202</v>
      </c>
      <c r="AH16" s="34">
        <v>44232</v>
      </c>
      <c r="AI16" s="30"/>
      <c r="AJ16" s="61">
        <f ca="1">IF(Table13[[#This Row],[RFC Remark]]="DONE",Table13[[#This Row],[RFC Date]]-Table13[[#This Row],[STIP Date]],$AJ$2-Table13[[#This Row],[STIP Date]])</f>
        <v>1005</v>
      </c>
      <c r="AK16" s="2"/>
      <c r="AL16" s="2"/>
      <c r="AM16" s="2"/>
      <c r="AN16" s="2" t="s">
        <v>313</v>
      </c>
      <c r="AO16" s="2"/>
      <c r="AP16" s="44"/>
      <c r="AQ16" s="44"/>
      <c r="AR16" s="2"/>
    </row>
    <row r="17" spans="1:44" ht="15" hidden="1" customHeight="1">
      <c r="A17" s="24" t="s">
        <v>235</v>
      </c>
      <c r="B17" s="2" t="s">
        <v>334</v>
      </c>
      <c r="C17" s="2" t="s">
        <v>425</v>
      </c>
      <c r="D17" s="36" t="s">
        <v>538</v>
      </c>
      <c r="E17" s="2" t="s">
        <v>538</v>
      </c>
      <c r="F17" s="2" t="s">
        <v>10</v>
      </c>
      <c r="G17" s="2" t="s">
        <v>100</v>
      </c>
      <c r="H17" s="2" t="s">
        <v>54</v>
      </c>
      <c r="I17" s="2" t="s">
        <v>4</v>
      </c>
      <c r="J17" s="46">
        <f t="shared" si="0"/>
        <v>43829</v>
      </c>
      <c r="K17" s="2" t="s">
        <v>539</v>
      </c>
      <c r="L17" s="28">
        <v>43829</v>
      </c>
      <c r="M17" s="2" t="s">
        <v>540</v>
      </c>
      <c r="N17" s="2" t="s">
        <v>540</v>
      </c>
      <c r="O17" s="2"/>
      <c r="P17" s="2" t="s">
        <v>5</v>
      </c>
      <c r="Q17" s="2" t="s">
        <v>21</v>
      </c>
      <c r="R17" s="2" t="s">
        <v>20</v>
      </c>
      <c r="S17" s="61">
        <v>25</v>
      </c>
      <c r="T17" s="2"/>
      <c r="U17" s="2"/>
      <c r="V17" s="2"/>
      <c r="W17" s="2"/>
      <c r="X17" s="2"/>
      <c r="Y17" s="2" t="s">
        <v>524</v>
      </c>
      <c r="Z17" s="2"/>
      <c r="AA17" s="2"/>
      <c r="AB17" s="2"/>
      <c r="AC17" s="2"/>
      <c r="AD17" s="2"/>
      <c r="AE17" s="2"/>
      <c r="AF17" s="30">
        <v>44202</v>
      </c>
      <c r="AG17" s="34">
        <v>44202</v>
      </c>
      <c r="AH17" s="34">
        <v>44232</v>
      </c>
      <c r="AI17" s="30"/>
      <c r="AJ17" s="61">
        <f ca="1">IF(Table13[[#This Row],[RFC Remark]]="DONE",Table13[[#This Row],[RFC Date]]-Table13[[#This Row],[STIP Date]],$AJ$2-Table13[[#This Row],[STIP Date]])</f>
        <v>1005</v>
      </c>
      <c r="AK17" s="2"/>
      <c r="AL17" s="2"/>
      <c r="AM17" s="2"/>
      <c r="AN17" s="2" t="s">
        <v>313</v>
      </c>
      <c r="AO17" s="2"/>
      <c r="AP17" s="44"/>
      <c r="AQ17" s="44"/>
      <c r="AR17" s="2"/>
    </row>
    <row r="18" spans="1:44" ht="15" hidden="1" customHeight="1">
      <c r="A18" s="23" t="s">
        <v>236</v>
      </c>
      <c r="B18" s="2" t="s">
        <v>335</v>
      </c>
      <c r="C18" s="2" t="s">
        <v>426</v>
      </c>
      <c r="D18" s="36" t="s">
        <v>541</v>
      </c>
      <c r="E18" s="2" t="s">
        <v>541</v>
      </c>
      <c r="F18" s="2" t="s">
        <v>10</v>
      </c>
      <c r="G18" s="2" t="s">
        <v>100</v>
      </c>
      <c r="H18" s="2" t="s">
        <v>54</v>
      </c>
      <c r="I18" s="2" t="s">
        <v>4</v>
      </c>
      <c r="J18" s="46">
        <f t="shared" si="0"/>
        <v>43829</v>
      </c>
      <c r="K18" s="2" t="s">
        <v>542</v>
      </c>
      <c r="L18" s="28">
        <v>43829</v>
      </c>
      <c r="M18" s="2" t="s">
        <v>543</v>
      </c>
      <c r="N18" s="2" t="s">
        <v>543</v>
      </c>
      <c r="O18" s="2"/>
      <c r="P18" s="2" t="s">
        <v>11</v>
      </c>
      <c r="Q18" s="2" t="s">
        <v>53</v>
      </c>
      <c r="R18" s="2" t="s">
        <v>13</v>
      </c>
      <c r="S18" s="61">
        <v>30</v>
      </c>
      <c r="T18" s="2"/>
      <c r="U18" s="2"/>
      <c r="V18" s="2"/>
      <c r="W18" s="2"/>
      <c r="X18" s="2"/>
      <c r="Y18" s="2" t="s">
        <v>506</v>
      </c>
      <c r="Z18" s="2"/>
      <c r="AA18" s="2"/>
      <c r="AB18" s="2"/>
      <c r="AC18" s="2"/>
      <c r="AD18" s="2"/>
      <c r="AE18" s="2"/>
      <c r="AF18" s="30">
        <v>44202</v>
      </c>
      <c r="AG18" s="34">
        <v>44202</v>
      </c>
      <c r="AH18" s="34">
        <v>44232</v>
      </c>
      <c r="AI18" s="30"/>
      <c r="AJ18" s="61">
        <f ca="1">IF(Table13[[#This Row],[RFC Remark]]="DONE",Table13[[#This Row],[RFC Date]]-Table13[[#This Row],[STIP Date]],$AJ$2-Table13[[#This Row],[STIP Date]])</f>
        <v>1005</v>
      </c>
      <c r="AK18" s="2"/>
      <c r="AL18" s="2"/>
      <c r="AM18" s="2"/>
      <c r="AN18" s="2" t="s">
        <v>313</v>
      </c>
      <c r="AO18" s="2"/>
      <c r="AP18" s="44"/>
      <c r="AQ18" s="44"/>
      <c r="AR18" s="2"/>
    </row>
    <row r="19" spans="1:44" ht="15" hidden="1" customHeight="1">
      <c r="A19" s="24" t="s">
        <v>237</v>
      </c>
      <c r="B19" s="2" t="s">
        <v>336</v>
      </c>
      <c r="C19" s="2" t="s">
        <v>427</v>
      </c>
      <c r="D19" s="36" t="s">
        <v>544</v>
      </c>
      <c r="E19" s="2" t="s">
        <v>544</v>
      </c>
      <c r="F19" s="2" t="s">
        <v>10</v>
      </c>
      <c r="G19" s="2" t="s">
        <v>100</v>
      </c>
      <c r="H19" s="2" t="s">
        <v>54</v>
      </c>
      <c r="I19" s="2" t="s">
        <v>4</v>
      </c>
      <c r="J19" s="46">
        <f t="shared" si="0"/>
        <v>43829</v>
      </c>
      <c r="K19" s="2" t="s">
        <v>545</v>
      </c>
      <c r="L19" s="28">
        <v>43829</v>
      </c>
      <c r="M19" s="2" t="s">
        <v>546</v>
      </c>
      <c r="N19" s="2" t="s">
        <v>546</v>
      </c>
      <c r="O19" s="2"/>
      <c r="P19" s="2" t="s">
        <v>11</v>
      </c>
      <c r="Q19" s="2" t="s">
        <v>26</v>
      </c>
      <c r="R19" s="2" t="s">
        <v>13</v>
      </c>
      <c r="S19" s="61">
        <v>30</v>
      </c>
      <c r="T19" s="2"/>
      <c r="U19" s="2"/>
      <c r="V19" s="2"/>
      <c r="W19" s="2"/>
      <c r="X19" s="2"/>
      <c r="Y19" s="2" t="s">
        <v>506</v>
      </c>
      <c r="Z19" s="2"/>
      <c r="AA19" s="2"/>
      <c r="AB19" s="2"/>
      <c r="AC19" s="2"/>
      <c r="AD19" s="2"/>
      <c r="AE19" s="2"/>
      <c r="AF19" s="30">
        <v>44202</v>
      </c>
      <c r="AG19" s="34">
        <v>44202</v>
      </c>
      <c r="AH19" s="34">
        <v>44232</v>
      </c>
      <c r="AI19" s="30"/>
      <c r="AJ19" s="61">
        <f ca="1">IF(Table13[[#This Row],[RFC Remark]]="DONE",Table13[[#This Row],[RFC Date]]-Table13[[#This Row],[STIP Date]],$AJ$2-Table13[[#This Row],[STIP Date]])</f>
        <v>1005</v>
      </c>
      <c r="AK19" s="2"/>
      <c r="AL19" s="2"/>
      <c r="AM19" s="2"/>
      <c r="AN19" s="2" t="s">
        <v>313</v>
      </c>
      <c r="AO19" s="2"/>
      <c r="AP19" s="44"/>
      <c r="AQ19" s="44"/>
      <c r="AR19" s="2"/>
    </row>
    <row r="20" spans="1:44" ht="15" hidden="1" customHeight="1">
      <c r="A20" s="23" t="s">
        <v>238</v>
      </c>
      <c r="B20" s="2" t="s">
        <v>337</v>
      </c>
      <c r="C20" s="2" t="s">
        <v>428</v>
      </c>
      <c r="D20" s="36" t="s">
        <v>547</v>
      </c>
      <c r="E20" s="2" t="s">
        <v>547</v>
      </c>
      <c r="F20" s="2" t="s">
        <v>10</v>
      </c>
      <c r="G20" s="2" t="s">
        <v>100</v>
      </c>
      <c r="H20" s="2" t="s">
        <v>54</v>
      </c>
      <c r="I20" s="2" t="s">
        <v>4</v>
      </c>
      <c r="J20" s="46">
        <f t="shared" si="0"/>
        <v>43829</v>
      </c>
      <c r="K20" s="2" t="s">
        <v>548</v>
      </c>
      <c r="L20" s="28">
        <v>43829</v>
      </c>
      <c r="M20" s="2" t="s">
        <v>549</v>
      </c>
      <c r="N20" s="2" t="s">
        <v>549</v>
      </c>
      <c r="O20" s="2"/>
      <c r="P20" s="2" t="s">
        <v>11</v>
      </c>
      <c r="Q20" s="2" t="s">
        <v>29</v>
      </c>
      <c r="R20" s="2" t="s">
        <v>20</v>
      </c>
      <c r="S20" s="61">
        <v>28</v>
      </c>
      <c r="T20" s="2"/>
      <c r="U20" s="2"/>
      <c r="V20" s="2"/>
      <c r="W20" s="2"/>
      <c r="X20" s="2"/>
      <c r="Y20" s="2" t="s">
        <v>550</v>
      </c>
      <c r="Z20" s="2"/>
      <c r="AA20" s="2"/>
      <c r="AB20" s="2"/>
      <c r="AC20" s="2"/>
      <c r="AD20" s="2"/>
      <c r="AE20" s="2"/>
      <c r="AF20" s="30">
        <v>44202</v>
      </c>
      <c r="AG20" s="34">
        <v>44202</v>
      </c>
      <c r="AH20" s="34">
        <v>44232</v>
      </c>
      <c r="AI20" s="30"/>
      <c r="AJ20" s="61">
        <f ca="1">IF(Table13[[#This Row],[RFC Remark]]="DONE",Table13[[#This Row],[RFC Date]]-Table13[[#This Row],[STIP Date]],$AJ$2-Table13[[#This Row],[STIP Date]])</f>
        <v>1005</v>
      </c>
      <c r="AK20" s="2"/>
      <c r="AL20" s="2"/>
      <c r="AM20" s="2"/>
      <c r="AN20" s="2" t="s">
        <v>313</v>
      </c>
      <c r="AO20" s="2"/>
      <c r="AP20" s="44"/>
      <c r="AQ20" s="44"/>
      <c r="AR20" s="2"/>
    </row>
    <row r="21" spans="1:44" ht="15" hidden="1" customHeight="1">
      <c r="A21" s="24" t="s">
        <v>239</v>
      </c>
      <c r="B21" s="2" t="s">
        <v>338</v>
      </c>
      <c r="C21" s="2" t="s">
        <v>429</v>
      </c>
      <c r="D21" s="36" t="s">
        <v>551</v>
      </c>
      <c r="E21" s="2" t="s">
        <v>551</v>
      </c>
      <c r="F21" s="2" t="s">
        <v>10</v>
      </c>
      <c r="G21" s="2" t="s">
        <v>100</v>
      </c>
      <c r="H21" s="2" t="s">
        <v>54</v>
      </c>
      <c r="I21" s="2" t="s">
        <v>4</v>
      </c>
      <c r="J21" s="46">
        <f t="shared" si="0"/>
        <v>43829</v>
      </c>
      <c r="K21" s="2" t="s">
        <v>552</v>
      </c>
      <c r="L21" s="28">
        <v>43829</v>
      </c>
      <c r="M21" s="2" t="s">
        <v>553</v>
      </c>
      <c r="N21" s="2" t="s">
        <v>553</v>
      </c>
      <c r="O21" s="2"/>
      <c r="P21" s="2" t="s">
        <v>11</v>
      </c>
      <c r="Q21" s="2" t="s">
        <v>29</v>
      </c>
      <c r="R21" s="2" t="s">
        <v>20</v>
      </c>
      <c r="S21" s="61">
        <v>25</v>
      </c>
      <c r="T21" s="2"/>
      <c r="U21" s="2"/>
      <c r="V21" s="2"/>
      <c r="W21" s="2"/>
      <c r="X21" s="2"/>
      <c r="Y21" s="2" t="s">
        <v>524</v>
      </c>
      <c r="Z21" s="2"/>
      <c r="AA21" s="2"/>
      <c r="AB21" s="2"/>
      <c r="AC21" s="2"/>
      <c r="AD21" s="2"/>
      <c r="AE21" s="2"/>
      <c r="AF21" s="30">
        <v>44202</v>
      </c>
      <c r="AG21" s="34">
        <v>44202</v>
      </c>
      <c r="AH21" s="34">
        <v>44232</v>
      </c>
      <c r="AI21" s="30"/>
      <c r="AJ21" s="61">
        <f ca="1">IF(Table13[[#This Row],[RFC Remark]]="DONE",Table13[[#This Row],[RFC Date]]-Table13[[#This Row],[STIP Date]],$AJ$2-Table13[[#This Row],[STIP Date]])</f>
        <v>1005</v>
      </c>
      <c r="AK21" s="2"/>
      <c r="AL21" s="2"/>
      <c r="AM21" s="2"/>
      <c r="AN21" s="2" t="s">
        <v>313</v>
      </c>
      <c r="AO21" s="2"/>
      <c r="AP21" s="44"/>
      <c r="AQ21" s="44"/>
      <c r="AR21" s="2"/>
    </row>
    <row r="22" spans="1:44" ht="15" hidden="1" customHeight="1">
      <c r="A22" s="23" t="s">
        <v>240</v>
      </c>
      <c r="B22" s="2" t="s">
        <v>339</v>
      </c>
      <c r="C22" s="2" t="s">
        <v>430</v>
      </c>
      <c r="D22" s="36" t="s">
        <v>554</v>
      </c>
      <c r="E22" s="2" t="s">
        <v>554</v>
      </c>
      <c r="F22" s="2" t="s">
        <v>10</v>
      </c>
      <c r="G22" s="2" t="s">
        <v>100</v>
      </c>
      <c r="H22" s="2" t="s">
        <v>54</v>
      </c>
      <c r="I22" s="2" t="s">
        <v>4</v>
      </c>
      <c r="J22" s="46">
        <f t="shared" si="0"/>
        <v>43829</v>
      </c>
      <c r="K22" s="2" t="s">
        <v>555</v>
      </c>
      <c r="L22" s="28">
        <v>43829</v>
      </c>
      <c r="M22" s="2" t="s">
        <v>556</v>
      </c>
      <c r="N22" s="2" t="s">
        <v>556</v>
      </c>
      <c r="O22" s="2"/>
      <c r="P22" s="2" t="s">
        <v>5</v>
      </c>
      <c r="Q22" s="2" t="s">
        <v>21</v>
      </c>
      <c r="R22" s="2" t="s">
        <v>20</v>
      </c>
      <c r="S22" s="61">
        <v>25</v>
      </c>
      <c r="T22" s="2"/>
      <c r="U22" s="2"/>
      <c r="V22" s="2"/>
      <c r="W22" s="2"/>
      <c r="X22" s="2"/>
      <c r="Y22" s="2" t="s">
        <v>524</v>
      </c>
      <c r="Z22" s="2"/>
      <c r="AA22" s="2"/>
      <c r="AB22" s="2"/>
      <c r="AC22" s="2"/>
      <c r="AD22" s="2"/>
      <c r="AE22" s="2"/>
      <c r="AF22" s="30">
        <v>44202</v>
      </c>
      <c r="AG22" s="34">
        <v>44202</v>
      </c>
      <c r="AH22" s="34">
        <v>44232</v>
      </c>
      <c r="AI22" s="30"/>
      <c r="AJ22" s="61">
        <f ca="1">IF(Table13[[#This Row],[RFC Remark]]="DONE",Table13[[#This Row],[RFC Date]]-Table13[[#This Row],[STIP Date]],$AJ$2-Table13[[#This Row],[STIP Date]])</f>
        <v>1005</v>
      </c>
      <c r="AK22" s="2"/>
      <c r="AL22" s="2"/>
      <c r="AM22" s="2"/>
      <c r="AN22" s="2" t="s">
        <v>313</v>
      </c>
      <c r="AO22" s="2"/>
      <c r="AP22" s="44"/>
      <c r="AQ22" s="44"/>
      <c r="AR22" s="2"/>
    </row>
    <row r="23" spans="1:44" ht="15" hidden="1" customHeight="1">
      <c r="A23" s="24" t="s">
        <v>241</v>
      </c>
      <c r="B23" s="2" t="s">
        <v>340</v>
      </c>
      <c r="C23" s="2" t="s">
        <v>431</v>
      </c>
      <c r="D23" s="36" t="s">
        <v>557</v>
      </c>
      <c r="E23" s="2" t="s">
        <v>557</v>
      </c>
      <c r="F23" s="2" t="s">
        <v>2</v>
      </c>
      <c r="G23" s="2" t="s">
        <v>100</v>
      </c>
      <c r="H23" s="2" t="s">
        <v>54</v>
      </c>
      <c r="I23" s="2" t="s">
        <v>4</v>
      </c>
      <c r="J23" s="46">
        <f t="shared" si="0"/>
        <v>43830</v>
      </c>
      <c r="K23" s="2" t="s">
        <v>558</v>
      </c>
      <c r="L23" s="28">
        <v>43830</v>
      </c>
      <c r="M23" s="2" t="s">
        <v>559</v>
      </c>
      <c r="N23" s="2" t="s">
        <v>559</v>
      </c>
      <c r="O23" s="2"/>
      <c r="P23" s="2" t="s">
        <v>5</v>
      </c>
      <c r="Q23" s="2" t="s">
        <v>560</v>
      </c>
      <c r="R23" s="2" t="s">
        <v>7</v>
      </c>
      <c r="S23" s="61">
        <v>20</v>
      </c>
      <c r="T23" s="2"/>
      <c r="U23" s="2"/>
      <c r="V23" s="2"/>
      <c r="W23" s="2"/>
      <c r="X23" s="2"/>
      <c r="Y23" s="2" t="s">
        <v>510</v>
      </c>
      <c r="Z23" s="2"/>
      <c r="AA23" s="2"/>
      <c r="AB23" s="2"/>
      <c r="AC23" s="2"/>
      <c r="AD23" s="2"/>
      <c r="AE23" s="2"/>
      <c r="AF23" s="30">
        <v>44202</v>
      </c>
      <c r="AG23" s="34">
        <v>44202</v>
      </c>
      <c r="AH23" s="34">
        <v>44232</v>
      </c>
      <c r="AI23" s="30"/>
      <c r="AJ23" s="61">
        <f ca="1">IF(Table13[[#This Row],[RFC Remark]]="DONE",Table13[[#This Row],[RFC Date]]-Table13[[#This Row],[STIP Date]],$AJ$2-Table13[[#This Row],[STIP Date]])</f>
        <v>1004</v>
      </c>
      <c r="AK23" s="2"/>
      <c r="AL23" s="2"/>
      <c r="AM23" s="2"/>
      <c r="AN23" s="2" t="s">
        <v>313</v>
      </c>
      <c r="AO23" s="2"/>
      <c r="AP23" s="44"/>
      <c r="AQ23" s="44"/>
      <c r="AR23" s="2"/>
    </row>
    <row r="24" spans="1:44" ht="15" hidden="1" customHeight="1">
      <c r="A24" s="6" t="s">
        <v>24</v>
      </c>
      <c r="B24" s="6" t="s">
        <v>109</v>
      </c>
      <c r="C24" s="13" t="s">
        <v>110</v>
      </c>
      <c r="D24" s="6" t="s">
        <v>25</v>
      </c>
      <c r="E24" s="6" t="s">
        <v>150</v>
      </c>
      <c r="F24" s="6" t="s">
        <v>10</v>
      </c>
      <c r="G24" s="4" t="s">
        <v>100</v>
      </c>
      <c r="H24" s="6" t="s">
        <v>16</v>
      </c>
      <c r="I24" s="6" t="s">
        <v>4</v>
      </c>
      <c r="J24" s="47">
        <v>2020</v>
      </c>
      <c r="K24" s="5" t="s">
        <v>561</v>
      </c>
      <c r="L24" s="7">
        <v>43844</v>
      </c>
      <c r="M24" s="5" t="s">
        <v>562</v>
      </c>
      <c r="N24" s="5" t="s">
        <v>563</v>
      </c>
      <c r="O24" s="5"/>
      <c r="P24" s="6" t="s">
        <v>11</v>
      </c>
      <c r="Q24" s="6" t="s">
        <v>26</v>
      </c>
      <c r="R24" s="6" t="s">
        <v>13</v>
      </c>
      <c r="S24" s="62">
        <v>50</v>
      </c>
      <c r="T24" s="5" t="s">
        <v>170</v>
      </c>
      <c r="U24" s="8" t="s">
        <v>164</v>
      </c>
      <c r="V24" s="5"/>
      <c r="W24" s="5"/>
      <c r="X24" s="5"/>
      <c r="Y24" s="41">
        <v>52</v>
      </c>
      <c r="Z24" s="40"/>
      <c r="AA24" s="5"/>
      <c r="AB24" s="40"/>
      <c r="AC24" s="5"/>
      <c r="AD24" s="5" t="s">
        <v>319</v>
      </c>
      <c r="AE24" s="5" t="s">
        <v>171</v>
      </c>
      <c r="AF24" s="31">
        <v>44202</v>
      </c>
      <c r="AG24" s="34">
        <v>44202</v>
      </c>
      <c r="AH24" s="34">
        <v>44232</v>
      </c>
      <c r="AI24" s="31"/>
      <c r="AJ24" s="22">
        <f ca="1">IF(Table13[[#This Row],[RFC Remark]]="DONE",Table13[[#This Row],[RFC Date]]-Table13[[#This Row],[STIP Date]],$AJ$2-Table13[[#This Row],[STIP Date]])</f>
        <v>990</v>
      </c>
      <c r="AK24" s="5"/>
      <c r="AL24" s="5"/>
      <c r="AM24" s="5"/>
      <c r="AN24" s="5" t="s">
        <v>313</v>
      </c>
      <c r="AO24" s="5" t="s">
        <v>175</v>
      </c>
      <c r="AP24" s="43" t="s">
        <v>1038</v>
      </c>
      <c r="AQ24" s="43"/>
      <c r="AR24" s="5"/>
    </row>
    <row r="25" spans="1:44" ht="15" customHeight="1">
      <c r="A25" s="6" t="s">
        <v>32</v>
      </c>
      <c r="B25" s="6" t="s">
        <v>117</v>
      </c>
      <c r="C25" s="13" t="s">
        <v>118</v>
      </c>
      <c r="D25" s="6" t="s">
        <v>34</v>
      </c>
      <c r="E25" s="6" t="s">
        <v>153</v>
      </c>
      <c r="F25" s="6" t="s">
        <v>2</v>
      </c>
      <c r="G25" s="4" t="s">
        <v>100</v>
      </c>
      <c r="H25" s="6" t="s">
        <v>16</v>
      </c>
      <c r="I25" s="6" t="s">
        <v>4</v>
      </c>
      <c r="J25" s="47">
        <v>2020</v>
      </c>
      <c r="K25" s="5" t="s">
        <v>573</v>
      </c>
      <c r="L25" s="7">
        <v>43844</v>
      </c>
      <c r="M25" s="5" t="s">
        <v>574</v>
      </c>
      <c r="N25" s="5" t="s">
        <v>575</v>
      </c>
      <c r="O25" s="5"/>
      <c r="P25" s="6" t="s">
        <v>5</v>
      </c>
      <c r="Q25" s="6" t="s">
        <v>6</v>
      </c>
      <c r="R25" s="6" t="s">
        <v>7</v>
      </c>
      <c r="S25" s="62">
        <v>20</v>
      </c>
      <c r="T25" s="5" t="s">
        <v>169</v>
      </c>
      <c r="U25" s="8" t="s">
        <v>163</v>
      </c>
      <c r="V25" s="5"/>
      <c r="W25" s="5"/>
      <c r="X25" s="5"/>
      <c r="Y25" s="41">
        <v>20</v>
      </c>
      <c r="Z25" s="40"/>
      <c r="AA25" s="5"/>
      <c r="AB25" s="40"/>
      <c r="AC25" s="5"/>
      <c r="AD25" s="5" t="s">
        <v>1405</v>
      </c>
      <c r="AE25" s="5" t="s">
        <v>171</v>
      </c>
      <c r="AF25" s="31" t="s">
        <v>167</v>
      </c>
      <c r="AG25" s="34" t="s">
        <v>167</v>
      </c>
      <c r="AH25" s="34" t="e">
        <v>#VALUE!</v>
      </c>
      <c r="AI25" s="501">
        <v>44155</v>
      </c>
      <c r="AJ25" s="63">
        <f>IF(Table13[[#This Row],[RFC Remark]]="DONE",Table13[[#This Row],[RFC Date]]-Table13[[#This Row],[STIP Date]],$AJ$2-Table13[[#This Row],[STIP Date]])</f>
        <v>311</v>
      </c>
      <c r="AK25" s="5" t="s">
        <v>167</v>
      </c>
      <c r="AL25" s="5"/>
      <c r="AM25" s="5"/>
      <c r="AN25" s="5" t="s">
        <v>311</v>
      </c>
      <c r="AO25" s="5" t="s">
        <v>173</v>
      </c>
      <c r="AP25" s="43" t="s">
        <v>173</v>
      </c>
      <c r="AQ25" s="43"/>
      <c r="AR25" s="5"/>
    </row>
    <row r="26" spans="1:44" ht="15" hidden="1" customHeight="1">
      <c r="A26" s="589" t="s">
        <v>14</v>
      </c>
      <c r="B26" s="589" t="s">
        <v>103</v>
      </c>
      <c r="C26" s="604" t="s">
        <v>104</v>
      </c>
      <c r="D26" s="605" t="s">
        <v>15</v>
      </c>
      <c r="E26" s="589" t="s">
        <v>147</v>
      </c>
      <c r="F26" s="589" t="s">
        <v>2</v>
      </c>
      <c r="G26" s="470" t="s">
        <v>100</v>
      </c>
      <c r="H26" s="589" t="s">
        <v>16</v>
      </c>
      <c r="I26" s="589" t="s">
        <v>4</v>
      </c>
      <c r="J26" s="603">
        <v>2020</v>
      </c>
      <c r="K26" s="49" t="s">
        <v>568</v>
      </c>
      <c r="L26" s="50">
        <v>43844</v>
      </c>
      <c r="M26" s="49" t="s">
        <v>569</v>
      </c>
      <c r="N26" s="49" t="s">
        <v>570</v>
      </c>
      <c r="O26" s="49"/>
      <c r="P26" s="589" t="s">
        <v>5</v>
      </c>
      <c r="Q26" s="589" t="s">
        <v>6</v>
      </c>
      <c r="R26" s="589" t="s">
        <v>7</v>
      </c>
      <c r="S26" s="542">
        <v>20</v>
      </c>
      <c r="T26" s="49"/>
      <c r="U26" s="49"/>
      <c r="V26" s="49"/>
      <c r="W26" s="49"/>
      <c r="X26" s="49"/>
      <c r="Y26" s="489"/>
      <c r="Z26" s="58"/>
      <c r="AA26" s="49"/>
      <c r="AB26" s="58"/>
      <c r="AC26" s="49"/>
      <c r="AD26" s="49" t="s">
        <v>567</v>
      </c>
      <c r="AE26" s="49" t="s">
        <v>171</v>
      </c>
      <c r="AF26" s="51">
        <v>44202</v>
      </c>
      <c r="AG26" s="52">
        <v>44202</v>
      </c>
      <c r="AH26" s="52">
        <v>44232</v>
      </c>
      <c r="AI26" s="51"/>
      <c r="AJ26" s="593">
        <f ca="1">IF(Table13[[#This Row],[RFC Remark]]="DONE",Table13[[#This Row],[RFC Date]]-Table13[[#This Row],[STIP Date]],$AJ$2-Table13[[#This Row],[STIP Date]])</f>
        <v>990</v>
      </c>
      <c r="AK26" s="49"/>
      <c r="AL26" s="49"/>
      <c r="AM26" s="49"/>
      <c r="AN26" s="488" t="s">
        <v>313</v>
      </c>
      <c r="AO26" s="49"/>
      <c r="AP26" s="53"/>
      <c r="AQ26" s="53"/>
      <c r="AR26" s="49"/>
    </row>
    <row r="27" spans="1:44" ht="15" customHeight="1">
      <c r="A27" s="9" t="s">
        <v>2118</v>
      </c>
      <c r="B27" s="6" t="s">
        <v>115</v>
      </c>
      <c r="C27" s="13" t="s">
        <v>116</v>
      </c>
      <c r="D27" s="4" t="s">
        <v>33</v>
      </c>
      <c r="E27" s="6" t="s">
        <v>154</v>
      </c>
      <c r="F27" s="6" t="s">
        <v>2</v>
      </c>
      <c r="G27" s="4" t="s">
        <v>100</v>
      </c>
      <c r="H27" s="6" t="s">
        <v>16</v>
      </c>
      <c r="I27" s="6" t="s">
        <v>4</v>
      </c>
      <c r="J27" s="47">
        <v>2020</v>
      </c>
      <c r="K27" s="5" t="s">
        <v>564</v>
      </c>
      <c r="L27" s="7">
        <v>43844</v>
      </c>
      <c r="M27" s="5" t="s">
        <v>565</v>
      </c>
      <c r="N27" s="5" t="s">
        <v>566</v>
      </c>
      <c r="O27" s="5"/>
      <c r="P27" s="6" t="s">
        <v>5</v>
      </c>
      <c r="Q27" s="6" t="s">
        <v>35</v>
      </c>
      <c r="R27" s="6" t="s">
        <v>7</v>
      </c>
      <c r="S27" s="62">
        <v>20</v>
      </c>
      <c r="T27" s="5" t="s">
        <v>169</v>
      </c>
      <c r="U27" s="8" t="s">
        <v>165</v>
      </c>
      <c r="V27" s="5"/>
      <c r="W27" s="5"/>
      <c r="X27" s="5"/>
      <c r="Y27" s="41">
        <v>20</v>
      </c>
      <c r="Z27" s="40"/>
      <c r="AA27" s="5"/>
      <c r="AB27" s="40"/>
      <c r="AC27" s="5"/>
      <c r="AD27" s="5" t="s">
        <v>1405</v>
      </c>
      <c r="AE27" s="5" t="s">
        <v>171</v>
      </c>
      <c r="AF27" s="31" t="s">
        <v>167</v>
      </c>
      <c r="AG27" s="34" t="s">
        <v>167</v>
      </c>
      <c r="AH27" s="34" t="e">
        <v>#VALUE!</v>
      </c>
      <c r="AI27" s="31">
        <v>44211</v>
      </c>
      <c r="AJ27" s="63">
        <f>IF(Table13[[#This Row],[RFC Remark]]="DONE",Table13[[#This Row],[RFC Date]]-Table13[[#This Row],[STIP Date]],$AJ$2-Table13[[#This Row],[STIP Date]])</f>
        <v>367</v>
      </c>
      <c r="AK27" s="5" t="s">
        <v>167</v>
      </c>
      <c r="AL27" s="5" t="str">
        <f>IF(Table13[[#This Row],[Aging RFC]]&lt;=85,"ONTIME","DELAY")</f>
        <v>DELAY</v>
      </c>
      <c r="AM27" s="5"/>
      <c r="AN27" s="5" t="s">
        <v>311</v>
      </c>
      <c r="AO27" s="5" t="s">
        <v>173</v>
      </c>
      <c r="AP27" s="43" t="s">
        <v>2215</v>
      </c>
      <c r="AQ27" s="43" t="s">
        <v>2104</v>
      </c>
      <c r="AR27" s="5" t="s">
        <v>181</v>
      </c>
    </row>
    <row r="28" spans="1:44" ht="15" customHeight="1">
      <c r="A28" s="617" t="s">
        <v>27</v>
      </c>
      <c r="B28" s="617" t="s">
        <v>111</v>
      </c>
      <c r="C28" s="618" t="s">
        <v>112</v>
      </c>
      <c r="D28" s="617" t="s">
        <v>28</v>
      </c>
      <c r="E28" s="617" t="s">
        <v>151</v>
      </c>
      <c r="F28" s="617" t="s">
        <v>2</v>
      </c>
      <c r="G28" s="619" t="s">
        <v>100</v>
      </c>
      <c r="H28" s="617" t="s">
        <v>16</v>
      </c>
      <c r="I28" s="617" t="s">
        <v>4</v>
      </c>
      <c r="J28" s="620">
        <v>2020</v>
      </c>
      <c r="K28" s="621" t="s">
        <v>595</v>
      </c>
      <c r="L28" s="622">
        <v>43844</v>
      </c>
      <c r="M28" s="621" t="s">
        <v>596</v>
      </c>
      <c r="N28" s="621" t="s">
        <v>597</v>
      </c>
      <c r="O28" s="621"/>
      <c r="P28" s="617" t="s">
        <v>11</v>
      </c>
      <c r="Q28" s="617" t="s">
        <v>29</v>
      </c>
      <c r="R28" s="617" t="s">
        <v>20</v>
      </c>
      <c r="S28" s="544">
        <v>20</v>
      </c>
      <c r="T28" s="621" t="s">
        <v>168</v>
      </c>
      <c r="U28" s="623" t="s">
        <v>165</v>
      </c>
      <c r="V28" s="621" t="s">
        <v>314</v>
      </c>
      <c r="W28" s="621">
        <v>-6.3308400000000002</v>
      </c>
      <c r="X28" s="621">
        <v>106.76953</v>
      </c>
      <c r="Y28" s="624">
        <v>20</v>
      </c>
      <c r="Z28" s="625">
        <v>20</v>
      </c>
      <c r="AA28" s="633">
        <v>44112</v>
      </c>
      <c r="AB28" s="625">
        <v>19</v>
      </c>
      <c r="AC28" s="633">
        <v>44159</v>
      </c>
      <c r="AD28" s="621" t="s">
        <v>1405</v>
      </c>
      <c r="AE28" s="621" t="s">
        <v>171</v>
      </c>
      <c r="AF28" s="626" t="s">
        <v>167</v>
      </c>
      <c r="AG28" s="627" t="s">
        <v>167</v>
      </c>
      <c r="AH28" s="627" t="e">
        <v>#VALUE!</v>
      </c>
      <c r="AI28" s="628">
        <v>44155</v>
      </c>
      <c r="AJ28" s="543">
        <f>IF(Table13[[#This Row],[RFC Remark]]="DONE",Table13[[#This Row],[RFC Date]]-Table13[[#This Row],[STIP Date]],$AJ$2-Table13[[#This Row],[STIP Date]])</f>
        <v>311</v>
      </c>
      <c r="AK28" s="621" t="s">
        <v>167</v>
      </c>
      <c r="AL28" s="621"/>
      <c r="AM28" s="621"/>
      <c r="AN28" s="621" t="s">
        <v>311</v>
      </c>
      <c r="AO28" s="621" t="s">
        <v>173</v>
      </c>
      <c r="AP28" s="629" t="s">
        <v>173</v>
      </c>
      <c r="AQ28" s="629"/>
      <c r="AR28" s="621"/>
    </row>
    <row r="29" spans="1:44" ht="15" customHeight="1">
      <c r="A29" s="6" t="s">
        <v>22</v>
      </c>
      <c r="B29" s="6" t="s">
        <v>107</v>
      </c>
      <c r="C29" s="13" t="s">
        <v>108</v>
      </c>
      <c r="D29" s="6" t="s">
        <v>23</v>
      </c>
      <c r="E29" s="6" t="s">
        <v>149</v>
      </c>
      <c r="F29" s="6" t="s">
        <v>2</v>
      </c>
      <c r="G29" s="4" t="s">
        <v>100</v>
      </c>
      <c r="H29" s="6" t="s">
        <v>16</v>
      </c>
      <c r="I29" s="6" t="s">
        <v>4</v>
      </c>
      <c r="J29" s="47">
        <v>2020</v>
      </c>
      <c r="K29" s="5" t="s">
        <v>576</v>
      </c>
      <c r="L29" s="7">
        <v>43844</v>
      </c>
      <c r="M29" s="5" t="s">
        <v>577</v>
      </c>
      <c r="N29" s="5" t="s">
        <v>578</v>
      </c>
      <c r="O29" s="5"/>
      <c r="P29" s="6" t="s">
        <v>5</v>
      </c>
      <c r="Q29" s="6" t="s">
        <v>21</v>
      </c>
      <c r="R29" s="6" t="s">
        <v>20</v>
      </c>
      <c r="S29" s="62">
        <v>35</v>
      </c>
      <c r="T29" s="5" t="s">
        <v>168</v>
      </c>
      <c r="U29" s="8" t="s">
        <v>165</v>
      </c>
      <c r="V29" s="8" t="s">
        <v>179</v>
      </c>
      <c r="W29" s="416">
        <v>-6.1927599999999998</v>
      </c>
      <c r="X29" s="5">
        <v>106.64957</v>
      </c>
      <c r="Y29" s="41">
        <v>20</v>
      </c>
      <c r="Z29" s="40">
        <v>20</v>
      </c>
      <c r="AA29" s="730">
        <v>44146</v>
      </c>
      <c r="AB29" s="40">
        <v>20</v>
      </c>
      <c r="AC29" s="39">
        <v>44159</v>
      </c>
      <c r="AD29" s="5" t="s">
        <v>1405</v>
      </c>
      <c r="AE29" s="5" t="s">
        <v>171</v>
      </c>
      <c r="AF29" s="31" t="s">
        <v>167</v>
      </c>
      <c r="AG29" s="34" t="s">
        <v>167</v>
      </c>
      <c r="AH29" s="34" t="e">
        <v>#VALUE!</v>
      </c>
      <c r="AI29" s="31">
        <v>44225</v>
      </c>
      <c r="AJ29" s="63">
        <f>IF(Table13[[#This Row],[RFC Remark]]="DONE",Table13[[#This Row],[RFC Date]]-Table13[[#This Row],[STIP Date]],$AJ$2-Table13[[#This Row],[STIP Date]])</f>
        <v>381</v>
      </c>
      <c r="AK29" s="5" t="s">
        <v>167</v>
      </c>
      <c r="AL29" s="5" t="str">
        <f>IF(Table13[[#This Row],[Aging RFC]]&lt;=85,"ONTIME","DELAY")</f>
        <v>DELAY</v>
      </c>
      <c r="AM29" s="5"/>
      <c r="AN29" s="5" t="s">
        <v>311</v>
      </c>
      <c r="AO29" s="5" t="s">
        <v>173</v>
      </c>
      <c r="AP29" s="43" t="s">
        <v>2216</v>
      </c>
      <c r="AQ29" s="43"/>
      <c r="AR29" s="5" t="s">
        <v>180</v>
      </c>
    </row>
    <row r="30" spans="1:44" ht="15" hidden="1" customHeight="1">
      <c r="A30" s="6" t="s">
        <v>36</v>
      </c>
      <c r="B30" s="6" t="s">
        <v>119</v>
      </c>
      <c r="C30" s="13" t="s">
        <v>120</v>
      </c>
      <c r="D30" s="6" t="s">
        <v>38</v>
      </c>
      <c r="E30" s="6" t="s">
        <v>38</v>
      </c>
      <c r="F30" s="6" t="s">
        <v>2</v>
      </c>
      <c r="G30" s="4" t="s">
        <v>100</v>
      </c>
      <c r="H30" s="6" t="s">
        <v>16</v>
      </c>
      <c r="I30" s="6" t="s">
        <v>4</v>
      </c>
      <c r="J30" s="47">
        <v>2020</v>
      </c>
      <c r="K30" s="5" t="s">
        <v>579</v>
      </c>
      <c r="L30" s="7">
        <v>43844</v>
      </c>
      <c r="M30" s="5" t="s">
        <v>580</v>
      </c>
      <c r="N30" s="5" t="s">
        <v>581</v>
      </c>
      <c r="O30" s="5"/>
      <c r="P30" s="6" t="s">
        <v>5</v>
      </c>
      <c r="Q30" s="6" t="s">
        <v>21</v>
      </c>
      <c r="R30" s="6" t="s">
        <v>20</v>
      </c>
      <c r="S30" s="62">
        <v>35</v>
      </c>
      <c r="T30" s="5" t="s">
        <v>177</v>
      </c>
      <c r="U30" s="8" t="s">
        <v>163</v>
      </c>
      <c r="V30" s="5"/>
      <c r="W30" s="5"/>
      <c r="X30" s="5"/>
      <c r="Y30" s="41">
        <v>20</v>
      </c>
      <c r="Z30" s="40"/>
      <c r="AA30" s="5"/>
      <c r="AB30" s="40"/>
      <c r="AC30" s="5"/>
      <c r="AD30" s="5" t="s">
        <v>1405</v>
      </c>
      <c r="AE30" s="5" t="s">
        <v>171</v>
      </c>
      <c r="AF30" s="31">
        <v>44202</v>
      </c>
      <c r="AG30" s="34">
        <v>44202</v>
      </c>
      <c r="AH30" s="34">
        <v>44232</v>
      </c>
      <c r="AI30" s="31"/>
      <c r="AJ30" s="22">
        <f ca="1">IF(Table13[[#This Row],[RFC Remark]]="DONE",Table13[[#This Row],[RFC Date]]-Table13[[#This Row],[STIP Date]],$AJ$2-Table13[[#This Row],[STIP Date]])</f>
        <v>990</v>
      </c>
      <c r="AK30" s="5"/>
      <c r="AL30" s="5"/>
      <c r="AM30" s="5"/>
      <c r="AN30" s="5" t="s">
        <v>313</v>
      </c>
      <c r="AO30" s="5" t="s">
        <v>175</v>
      </c>
      <c r="AP30" s="43"/>
      <c r="AQ30" s="43"/>
      <c r="AR30" s="5"/>
    </row>
    <row r="31" spans="1:44" ht="15" hidden="1" customHeight="1">
      <c r="A31" s="6" t="s">
        <v>37</v>
      </c>
      <c r="B31" s="6" t="s">
        <v>121</v>
      </c>
      <c r="C31" s="13" t="s">
        <v>122</v>
      </c>
      <c r="D31" s="17" t="s">
        <v>39</v>
      </c>
      <c r="E31" s="6" t="s">
        <v>39</v>
      </c>
      <c r="F31" s="6" t="s">
        <v>2</v>
      </c>
      <c r="G31" s="4" t="s">
        <v>100</v>
      </c>
      <c r="H31" s="6" t="s">
        <v>16</v>
      </c>
      <c r="I31" s="6" t="s">
        <v>4</v>
      </c>
      <c r="J31" s="47">
        <v>2020</v>
      </c>
      <c r="K31" s="5" t="s">
        <v>582</v>
      </c>
      <c r="L31" s="7">
        <v>43844</v>
      </c>
      <c r="M31" s="5" t="s">
        <v>583</v>
      </c>
      <c r="N31" s="5" t="s">
        <v>584</v>
      </c>
      <c r="O31" s="5"/>
      <c r="P31" s="6" t="s">
        <v>5</v>
      </c>
      <c r="Q31" s="6" t="s">
        <v>21</v>
      </c>
      <c r="R31" s="6" t="s">
        <v>20</v>
      </c>
      <c r="S31" s="62">
        <v>35</v>
      </c>
      <c r="T31" s="5"/>
      <c r="U31" s="5"/>
      <c r="V31" s="5"/>
      <c r="W31" s="5"/>
      <c r="X31" s="5"/>
      <c r="Y31" s="41"/>
      <c r="Z31" s="40"/>
      <c r="AA31" s="5"/>
      <c r="AB31" s="40"/>
      <c r="AC31" s="5"/>
      <c r="AD31" s="5" t="s">
        <v>1405</v>
      </c>
      <c r="AE31" s="5" t="s">
        <v>171</v>
      </c>
      <c r="AF31" s="31">
        <v>44202</v>
      </c>
      <c r="AG31" s="34">
        <v>44202</v>
      </c>
      <c r="AH31" s="34">
        <v>44232</v>
      </c>
      <c r="AI31" s="31"/>
      <c r="AJ31" s="22">
        <f ca="1">IF(Table13[[#This Row],[RFC Remark]]="DONE",Table13[[#This Row],[RFC Date]]-Table13[[#This Row],[STIP Date]],$AJ$2-Table13[[#This Row],[STIP Date]])</f>
        <v>990</v>
      </c>
      <c r="AK31" s="5"/>
      <c r="AL31" s="5"/>
      <c r="AM31" s="5"/>
      <c r="AN31" s="5" t="s">
        <v>313</v>
      </c>
      <c r="AO31" s="5" t="s">
        <v>175</v>
      </c>
      <c r="AP31" s="43"/>
      <c r="AQ31" s="43"/>
      <c r="AR31" s="5"/>
    </row>
    <row r="32" spans="1:44" ht="15" hidden="1" customHeight="1">
      <c r="A32" s="6" t="s">
        <v>40</v>
      </c>
      <c r="B32" s="6" t="s">
        <v>123</v>
      </c>
      <c r="C32" s="13" t="s">
        <v>124</v>
      </c>
      <c r="D32" s="6" t="s">
        <v>41</v>
      </c>
      <c r="E32" s="6" t="s">
        <v>41</v>
      </c>
      <c r="F32" s="6" t="s">
        <v>10</v>
      </c>
      <c r="G32" s="4" t="s">
        <v>100</v>
      </c>
      <c r="H32" s="6" t="s">
        <v>16</v>
      </c>
      <c r="I32" s="6" t="s">
        <v>4</v>
      </c>
      <c r="J32" s="47">
        <v>2020</v>
      </c>
      <c r="K32" s="5" t="s">
        <v>585</v>
      </c>
      <c r="L32" s="7">
        <v>43844</v>
      </c>
      <c r="M32" s="5" t="s">
        <v>586</v>
      </c>
      <c r="N32" s="5" t="s">
        <v>587</v>
      </c>
      <c r="O32" s="5"/>
      <c r="P32" s="6" t="s">
        <v>5</v>
      </c>
      <c r="Q32" s="6" t="s">
        <v>21</v>
      </c>
      <c r="R32" s="6" t="s">
        <v>20</v>
      </c>
      <c r="S32" s="62">
        <v>35</v>
      </c>
      <c r="T32" s="5" t="s">
        <v>170</v>
      </c>
      <c r="U32" s="5" t="s">
        <v>164</v>
      </c>
      <c r="V32" s="5"/>
      <c r="W32" s="5"/>
      <c r="X32" s="5"/>
      <c r="Y32" s="41"/>
      <c r="Z32" s="40"/>
      <c r="AA32" s="5"/>
      <c r="AB32" s="40"/>
      <c r="AC32" s="5"/>
      <c r="AD32" s="5" t="s">
        <v>319</v>
      </c>
      <c r="AE32" s="5" t="s">
        <v>171</v>
      </c>
      <c r="AF32" s="31">
        <v>44202</v>
      </c>
      <c r="AG32" s="34">
        <v>44202</v>
      </c>
      <c r="AH32" s="34">
        <v>44232</v>
      </c>
      <c r="AI32" s="31"/>
      <c r="AJ32" s="22">
        <f ca="1">IF(Table13[[#This Row],[RFC Remark]]="DONE",Table13[[#This Row],[RFC Date]]-Table13[[#This Row],[STIP Date]],$AJ$2-Table13[[#This Row],[STIP Date]])</f>
        <v>990</v>
      </c>
      <c r="AK32" s="5"/>
      <c r="AL32" s="5"/>
      <c r="AM32" s="5"/>
      <c r="AN32" s="5" t="s">
        <v>313</v>
      </c>
      <c r="AO32" s="5" t="s">
        <v>175</v>
      </c>
      <c r="AP32" s="43"/>
      <c r="AQ32" s="43"/>
      <c r="AR32" s="5"/>
    </row>
    <row r="33" spans="1:44" ht="15" hidden="1" customHeight="1">
      <c r="A33" s="6" t="s">
        <v>17</v>
      </c>
      <c r="B33" s="18" t="s">
        <v>136</v>
      </c>
      <c r="C33" s="19" t="s">
        <v>137</v>
      </c>
      <c r="D33" s="6" t="s">
        <v>18</v>
      </c>
      <c r="E33" s="6" t="s">
        <v>148</v>
      </c>
      <c r="F33" s="6" t="s">
        <v>10</v>
      </c>
      <c r="G33" s="4" t="s">
        <v>100</v>
      </c>
      <c r="H33" s="6" t="s">
        <v>16</v>
      </c>
      <c r="I33" s="6" t="s">
        <v>4</v>
      </c>
      <c r="J33" s="47">
        <v>2020</v>
      </c>
      <c r="K33" s="5" t="s">
        <v>588</v>
      </c>
      <c r="L33" s="7">
        <v>43844</v>
      </c>
      <c r="M33" s="5" t="s">
        <v>589</v>
      </c>
      <c r="N33" s="5" t="s">
        <v>590</v>
      </c>
      <c r="O33" s="5"/>
      <c r="P33" s="6" t="s">
        <v>11</v>
      </c>
      <c r="Q33" s="6" t="s">
        <v>19</v>
      </c>
      <c r="R33" s="6" t="s">
        <v>20</v>
      </c>
      <c r="S33" s="542">
        <v>35</v>
      </c>
      <c r="T33" s="5"/>
      <c r="U33" s="5"/>
      <c r="V33" s="5"/>
      <c r="W33" s="5"/>
      <c r="X33" s="5"/>
      <c r="Y33" s="41"/>
      <c r="Z33" s="40"/>
      <c r="AA33" s="5"/>
      <c r="AB33" s="40"/>
      <c r="AC33" s="5"/>
      <c r="AD33" s="5" t="s">
        <v>319</v>
      </c>
      <c r="AE33" s="5" t="s">
        <v>171</v>
      </c>
      <c r="AF33" s="31">
        <v>44202</v>
      </c>
      <c r="AG33" s="34">
        <v>44202</v>
      </c>
      <c r="AH33" s="34">
        <v>44232</v>
      </c>
      <c r="AI33" s="31"/>
      <c r="AJ33" s="22">
        <f ca="1">IF(Table13[[#This Row],[RFC Remark]]="DONE",Table13[[#This Row],[RFC Date]]-Table13[[#This Row],[STIP Date]],$AJ$2-Table13[[#This Row],[STIP Date]])</f>
        <v>990</v>
      </c>
      <c r="AK33" s="5"/>
      <c r="AL33" s="5"/>
      <c r="AM33" s="5"/>
      <c r="AN33" s="5" t="s">
        <v>313</v>
      </c>
      <c r="AO33" s="5" t="s">
        <v>175</v>
      </c>
      <c r="AP33" s="43" t="s">
        <v>1039</v>
      </c>
      <c r="AQ33" s="43"/>
      <c r="AR33" s="5"/>
    </row>
    <row r="34" spans="1:44" ht="15" customHeight="1">
      <c r="A34" s="9" t="s">
        <v>63</v>
      </c>
      <c r="B34" s="139" t="s">
        <v>1072</v>
      </c>
      <c r="C34" s="19" t="s">
        <v>138</v>
      </c>
      <c r="D34" s="4" t="s">
        <v>161</v>
      </c>
      <c r="E34" s="4" t="s">
        <v>160</v>
      </c>
      <c r="F34" s="4" t="s">
        <v>2</v>
      </c>
      <c r="G34" s="4" t="s">
        <v>100</v>
      </c>
      <c r="H34" s="4" t="s">
        <v>16</v>
      </c>
      <c r="I34" s="4" t="s">
        <v>4</v>
      </c>
      <c r="J34" s="47">
        <v>2020</v>
      </c>
      <c r="K34" s="5" t="s">
        <v>591</v>
      </c>
      <c r="L34" s="7">
        <v>43844</v>
      </c>
      <c r="M34" s="5" t="s">
        <v>592</v>
      </c>
      <c r="N34" s="5" t="s">
        <v>593</v>
      </c>
      <c r="O34" s="5"/>
      <c r="P34" s="4" t="s">
        <v>11</v>
      </c>
      <c r="Q34" s="4" t="s">
        <v>29</v>
      </c>
      <c r="R34" s="539" t="s">
        <v>20</v>
      </c>
      <c r="S34" s="63">
        <v>25</v>
      </c>
      <c r="T34" s="5" t="s">
        <v>594</v>
      </c>
      <c r="U34" s="5"/>
      <c r="V34" s="5" t="s">
        <v>178</v>
      </c>
      <c r="W34" s="5">
        <v>-6.26119</v>
      </c>
      <c r="X34" s="5">
        <v>106.73702</v>
      </c>
      <c r="Y34" s="41">
        <v>20</v>
      </c>
      <c r="Z34" s="40"/>
      <c r="AA34" s="5"/>
      <c r="AB34" s="40"/>
      <c r="AC34" s="5"/>
      <c r="AD34" s="5" t="s">
        <v>1118</v>
      </c>
      <c r="AE34" s="5" t="s">
        <v>171</v>
      </c>
      <c r="AF34" s="31" t="s">
        <v>167</v>
      </c>
      <c r="AG34" s="34" t="s">
        <v>167</v>
      </c>
      <c r="AH34" s="518" t="s">
        <v>2249</v>
      </c>
      <c r="AI34" s="31">
        <v>44271</v>
      </c>
      <c r="AJ34" s="63">
        <f>IF(Table13[[#This Row],[RFC Remark]]="DONE",Table13[[#This Row],[RFC Date]]-Table13[[#This Row],[STIP Date]],$AJ$2-Table13[[#This Row],[STIP Date]])</f>
        <v>427</v>
      </c>
      <c r="AK34" s="4" t="s">
        <v>167</v>
      </c>
      <c r="AL34" s="5" t="str">
        <f>IF(Table13[[#This Row],[Aging RFC]]&lt;=85,"ONTIME","DELAY")</f>
        <v>DELAY</v>
      </c>
      <c r="AM34" s="5"/>
      <c r="AN34" s="5" t="s">
        <v>311</v>
      </c>
      <c r="AO34" s="5" t="s">
        <v>173</v>
      </c>
      <c r="AP34" s="43" t="s">
        <v>2305</v>
      </c>
      <c r="AQ34" s="43"/>
      <c r="AR34" s="5"/>
    </row>
    <row r="35" spans="1:44" ht="15" customHeight="1">
      <c r="A35" s="23" t="s">
        <v>300</v>
      </c>
      <c r="B35" s="23" t="s">
        <v>305</v>
      </c>
      <c r="C35" s="2" t="s">
        <v>307</v>
      </c>
      <c r="D35" s="23" t="s">
        <v>306</v>
      </c>
      <c r="E35" s="23" t="s">
        <v>306</v>
      </c>
      <c r="F35" s="2" t="s">
        <v>2</v>
      </c>
      <c r="G35" s="2" t="s">
        <v>100</v>
      </c>
      <c r="H35" s="2" t="s">
        <v>3</v>
      </c>
      <c r="I35" s="2" t="s">
        <v>4</v>
      </c>
      <c r="J35" s="46">
        <f>L35</f>
        <v>43910</v>
      </c>
      <c r="K35" s="2" t="s">
        <v>308</v>
      </c>
      <c r="L35" s="27">
        <v>43910</v>
      </c>
      <c r="M35" s="2" t="s">
        <v>309</v>
      </c>
      <c r="N35" s="2" t="s">
        <v>310</v>
      </c>
      <c r="O35" s="2"/>
      <c r="P35" s="2" t="s">
        <v>5</v>
      </c>
      <c r="Q35" s="2" t="s">
        <v>6</v>
      </c>
      <c r="R35" s="2" t="s">
        <v>7</v>
      </c>
      <c r="S35" s="645">
        <v>20</v>
      </c>
      <c r="T35" s="2"/>
      <c r="U35" s="2"/>
      <c r="V35" s="2"/>
      <c r="W35" s="2"/>
      <c r="X35" s="2"/>
      <c r="Y35" s="677">
        <v>20</v>
      </c>
      <c r="Z35" s="29"/>
      <c r="AA35" s="2"/>
      <c r="AB35" s="29"/>
      <c r="AC35" s="2"/>
      <c r="AD35" s="2"/>
      <c r="AE35" s="2"/>
      <c r="AF35" s="30" t="e">
        <f>VLOOKUP(Table13[[#This Row],[SONum]],[2]Worksheet1!$B$1:$Z$59,23,0)</f>
        <v>#N/A</v>
      </c>
      <c r="AG35" s="30" t="e">
        <f>VLOOKUP(Table13[[#This Row],[SONum]],[2]Worksheet1!$B$1:$Z$59,24,0)</f>
        <v>#N/A</v>
      </c>
      <c r="AH35" s="30" t="e">
        <f>VLOOKUP(Table13[[#This Row],[SONum]],[2]Worksheet1!$B$1:$Z$59,25,0)</f>
        <v>#N/A</v>
      </c>
      <c r="AI35" s="30"/>
      <c r="AJ35" s="63">
        <f ca="1">IF(Table13[[#This Row],[RFC Remark]]="DONE",Table13[[#This Row],[RFC Date]]-Table13[[#This Row],[STIP Date]],$AJ$2-Table13[[#This Row],[STIP Date]])</f>
        <v>924</v>
      </c>
      <c r="AK35" s="2"/>
      <c r="AL35" s="2"/>
      <c r="AM35" s="2"/>
      <c r="AN35" s="2" t="s">
        <v>311</v>
      </c>
      <c r="AO35" s="2" t="s">
        <v>172</v>
      </c>
      <c r="AP35" s="44"/>
      <c r="AQ35" s="44"/>
      <c r="AR35" s="2"/>
    </row>
    <row r="36" spans="1:44" ht="15" customHeight="1">
      <c r="A36" s="6" t="s">
        <v>44</v>
      </c>
      <c r="B36" s="6">
        <v>1318231003</v>
      </c>
      <c r="C36" s="13" t="s">
        <v>127</v>
      </c>
      <c r="D36" s="6" t="s">
        <v>47</v>
      </c>
      <c r="E36" s="6" t="s">
        <v>156</v>
      </c>
      <c r="F36" s="6" t="s">
        <v>2</v>
      </c>
      <c r="G36" s="4" t="s">
        <v>100</v>
      </c>
      <c r="H36" s="6" t="s">
        <v>16</v>
      </c>
      <c r="I36" s="6" t="s">
        <v>4</v>
      </c>
      <c r="J36" s="47">
        <v>2020</v>
      </c>
      <c r="K36" s="565" t="s">
        <v>841</v>
      </c>
      <c r="L36" s="688">
        <v>44006</v>
      </c>
      <c r="M36" s="565" t="s">
        <v>842</v>
      </c>
      <c r="N36" s="565" t="s">
        <v>843</v>
      </c>
      <c r="O36" s="5"/>
      <c r="P36" s="683" t="s">
        <v>11</v>
      </c>
      <c r="Q36" s="683" t="s">
        <v>29</v>
      </c>
      <c r="R36" s="683" t="s">
        <v>20</v>
      </c>
      <c r="S36" s="62">
        <v>20</v>
      </c>
      <c r="T36" s="5" t="s">
        <v>168</v>
      </c>
      <c r="U36" s="8" t="s">
        <v>163</v>
      </c>
      <c r="V36" s="5" t="s">
        <v>314</v>
      </c>
      <c r="W36" s="5">
        <v>-6.2997699999999996</v>
      </c>
      <c r="X36" s="5">
        <v>106.69607000000001</v>
      </c>
      <c r="Y36" s="41">
        <v>20</v>
      </c>
      <c r="Z36" s="40"/>
      <c r="AA36" s="5"/>
      <c r="AB36" s="40"/>
      <c r="AC36" s="5"/>
      <c r="AD36" s="5" t="s">
        <v>1405</v>
      </c>
      <c r="AE36" s="5" t="s">
        <v>171</v>
      </c>
      <c r="AF36" s="31" t="s">
        <v>167</v>
      </c>
      <c r="AG36" s="34" t="s">
        <v>167</v>
      </c>
      <c r="AH36" s="34" t="e">
        <v>#VALUE!</v>
      </c>
      <c r="AI36" s="501">
        <v>44155</v>
      </c>
      <c r="AJ36" s="63">
        <f>IF(Table13[[#This Row],[RFC Remark]]="DONE",Table13[[#This Row],[RFC Date]]-Table13[[#This Row],[STIP Date]],$AJ$2-Table13[[#This Row],[STIP Date]])</f>
        <v>149</v>
      </c>
      <c r="AK36" s="5" t="s">
        <v>167</v>
      </c>
      <c r="AL36" s="5"/>
      <c r="AM36" s="5"/>
      <c r="AN36" s="5" t="s">
        <v>311</v>
      </c>
      <c r="AO36" s="5" t="s">
        <v>173</v>
      </c>
      <c r="AP36" s="43" t="s">
        <v>173</v>
      </c>
      <c r="AQ36" s="43"/>
      <c r="AR36" s="5"/>
    </row>
    <row r="37" spans="1:44" ht="15" hidden="1" customHeight="1">
      <c r="A37" s="24" t="s">
        <v>242</v>
      </c>
      <c r="B37" s="2" t="s">
        <v>341</v>
      </c>
      <c r="C37" s="2" t="s">
        <v>432</v>
      </c>
      <c r="D37" s="36" t="s">
        <v>598</v>
      </c>
      <c r="E37" s="2" t="s">
        <v>599</v>
      </c>
      <c r="F37" s="2" t="s">
        <v>2</v>
      </c>
      <c r="G37" s="2" t="s">
        <v>100</v>
      </c>
      <c r="H37" s="2" t="s">
        <v>16</v>
      </c>
      <c r="I37" s="2" t="s">
        <v>4</v>
      </c>
      <c r="J37" s="46">
        <f t="shared" ref="J37:J44" si="1">L37</f>
        <v>43844</v>
      </c>
      <c r="K37" s="2" t="s">
        <v>600</v>
      </c>
      <c r="L37" s="28">
        <v>43844</v>
      </c>
      <c r="M37" s="2" t="s">
        <v>601</v>
      </c>
      <c r="N37" s="2" t="s">
        <v>601</v>
      </c>
      <c r="O37" s="2"/>
      <c r="P37" s="2" t="s">
        <v>5</v>
      </c>
      <c r="Q37" s="2" t="s">
        <v>21</v>
      </c>
      <c r="R37" s="2" t="s">
        <v>20</v>
      </c>
      <c r="S37" s="61">
        <v>35</v>
      </c>
      <c r="T37" s="2"/>
      <c r="U37" s="2"/>
      <c r="V37" s="2"/>
      <c r="W37" s="2"/>
      <c r="X37" s="2"/>
      <c r="Y37" s="578" t="s">
        <v>602</v>
      </c>
      <c r="Z37" s="29"/>
      <c r="AA37" s="2"/>
      <c r="AB37" s="29"/>
      <c r="AC37" s="2"/>
      <c r="AD37" s="2"/>
      <c r="AE37" s="2"/>
      <c r="AF37" s="30">
        <v>44202</v>
      </c>
      <c r="AG37" s="34">
        <v>44202</v>
      </c>
      <c r="AH37" s="34">
        <v>44232</v>
      </c>
      <c r="AI37" s="30"/>
      <c r="AJ37" s="61">
        <f ca="1">IF(Table13[[#This Row],[RFC Remark]]="DONE",Table13[[#This Row],[RFC Date]]-Table13[[#This Row],[STIP Date]],$AJ$2-Table13[[#This Row],[STIP Date]])</f>
        <v>990</v>
      </c>
      <c r="AK37" s="2"/>
      <c r="AL37" s="2"/>
      <c r="AM37" s="5"/>
      <c r="AN37" s="2" t="s">
        <v>313</v>
      </c>
      <c r="AO37" s="2"/>
      <c r="AP37" s="44"/>
      <c r="AQ37" s="44"/>
      <c r="AR37" s="2"/>
    </row>
    <row r="38" spans="1:44" ht="15" hidden="1" customHeight="1">
      <c r="A38" s="23" t="s">
        <v>243</v>
      </c>
      <c r="B38" s="2" t="s">
        <v>342</v>
      </c>
      <c r="C38" s="2" t="s">
        <v>433</v>
      </c>
      <c r="D38" s="36" t="s">
        <v>603</v>
      </c>
      <c r="E38" s="2" t="s">
        <v>604</v>
      </c>
      <c r="F38" s="2" t="s">
        <v>2</v>
      </c>
      <c r="G38" s="2" t="s">
        <v>100</v>
      </c>
      <c r="H38" s="2" t="s">
        <v>16</v>
      </c>
      <c r="I38" s="2" t="s">
        <v>4</v>
      </c>
      <c r="J38" s="46">
        <f t="shared" si="1"/>
        <v>43844</v>
      </c>
      <c r="K38" s="2" t="s">
        <v>605</v>
      </c>
      <c r="L38" s="28">
        <v>43844</v>
      </c>
      <c r="M38" s="2" t="s">
        <v>606</v>
      </c>
      <c r="N38" s="2" t="s">
        <v>606</v>
      </c>
      <c r="O38" s="2"/>
      <c r="P38" s="2" t="s">
        <v>5</v>
      </c>
      <c r="Q38" s="2" t="s">
        <v>6</v>
      </c>
      <c r="R38" s="2" t="s">
        <v>7</v>
      </c>
      <c r="S38" s="61">
        <v>20</v>
      </c>
      <c r="T38" s="2"/>
      <c r="U38" s="2"/>
      <c r="V38" s="2"/>
      <c r="W38" s="2"/>
      <c r="X38" s="2"/>
      <c r="Y38" s="578" t="s">
        <v>510</v>
      </c>
      <c r="Z38" s="29"/>
      <c r="AA38" s="2"/>
      <c r="AB38" s="29"/>
      <c r="AC38" s="2"/>
      <c r="AD38" s="2"/>
      <c r="AE38" s="2"/>
      <c r="AF38" s="30">
        <v>44202</v>
      </c>
      <c r="AG38" s="34">
        <v>44202</v>
      </c>
      <c r="AH38" s="34">
        <v>44232</v>
      </c>
      <c r="AI38" s="30"/>
      <c r="AJ38" s="61">
        <f ca="1">IF(Table13[[#This Row],[RFC Remark]]="DONE",Table13[[#This Row],[RFC Date]]-Table13[[#This Row],[STIP Date]],$AJ$2-Table13[[#This Row],[STIP Date]])</f>
        <v>990</v>
      </c>
      <c r="AK38" s="2"/>
      <c r="AL38" s="2"/>
      <c r="AM38" s="5"/>
      <c r="AN38" s="2" t="s">
        <v>313</v>
      </c>
      <c r="AO38" s="2"/>
      <c r="AP38" s="44"/>
      <c r="AQ38" s="44"/>
      <c r="AR38" s="2"/>
    </row>
    <row r="39" spans="1:44" ht="15" hidden="1" customHeight="1">
      <c r="A39" s="24" t="s">
        <v>244</v>
      </c>
      <c r="B39" s="2" t="s">
        <v>343</v>
      </c>
      <c r="C39" s="2" t="s">
        <v>434</v>
      </c>
      <c r="D39" s="36" t="s">
        <v>607</v>
      </c>
      <c r="E39" s="2" t="s">
        <v>607</v>
      </c>
      <c r="F39" s="2" t="s">
        <v>2</v>
      </c>
      <c r="G39" s="2" t="s">
        <v>100</v>
      </c>
      <c r="H39" s="2" t="s">
        <v>16</v>
      </c>
      <c r="I39" s="2" t="s">
        <v>4</v>
      </c>
      <c r="J39" s="46">
        <f t="shared" si="1"/>
        <v>43844</v>
      </c>
      <c r="K39" s="2" t="s">
        <v>608</v>
      </c>
      <c r="L39" s="28">
        <v>43844</v>
      </c>
      <c r="M39" s="2" t="s">
        <v>609</v>
      </c>
      <c r="N39" s="2" t="s">
        <v>609</v>
      </c>
      <c r="O39" s="2"/>
      <c r="P39" s="2" t="s">
        <v>11</v>
      </c>
      <c r="Q39" s="2" t="s">
        <v>29</v>
      </c>
      <c r="R39" s="2" t="s">
        <v>20</v>
      </c>
      <c r="S39" s="61">
        <v>35</v>
      </c>
      <c r="T39" s="2"/>
      <c r="U39" s="2"/>
      <c r="V39" s="2"/>
      <c r="W39" s="2"/>
      <c r="X39" s="2"/>
      <c r="Y39" s="578" t="s">
        <v>602</v>
      </c>
      <c r="Z39" s="29"/>
      <c r="AA39" s="2"/>
      <c r="AB39" s="29"/>
      <c r="AC39" s="2"/>
      <c r="AD39" s="2"/>
      <c r="AE39" s="2"/>
      <c r="AF39" s="30">
        <v>44202</v>
      </c>
      <c r="AG39" s="34">
        <v>44202</v>
      </c>
      <c r="AH39" s="34">
        <v>44232</v>
      </c>
      <c r="AI39" s="30"/>
      <c r="AJ39" s="61">
        <f ca="1">IF(Table13[[#This Row],[RFC Remark]]="DONE",Table13[[#This Row],[RFC Date]]-Table13[[#This Row],[STIP Date]],$AJ$2-Table13[[#This Row],[STIP Date]])</f>
        <v>990</v>
      </c>
      <c r="AK39" s="2"/>
      <c r="AL39" s="2"/>
      <c r="AM39" s="5"/>
      <c r="AN39" s="2" t="s">
        <v>313</v>
      </c>
      <c r="AO39" s="2"/>
      <c r="AP39" s="44"/>
      <c r="AQ39" s="44"/>
      <c r="AR39" s="2"/>
    </row>
    <row r="40" spans="1:44" ht="15" hidden="1" customHeight="1">
      <c r="A40" s="23" t="s">
        <v>245</v>
      </c>
      <c r="B40" s="2" t="s">
        <v>344</v>
      </c>
      <c r="C40" s="2" t="s">
        <v>435</v>
      </c>
      <c r="D40" s="36" t="s">
        <v>610</v>
      </c>
      <c r="E40" s="2" t="s">
        <v>610</v>
      </c>
      <c r="F40" s="2" t="s">
        <v>10</v>
      </c>
      <c r="G40" s="2" t="s">
        <v>100</v>
      </c>
      <c r="H40" s="2" t="s">
        <v>54</v>
      </c>
      <c r="I40" s="2" t="s">
        <v>4</v>
      </c>
      <c r="J40" s="46">
        <f t="shared" si="1"/>
        <v>43858</v>
      </c>
      <c r="K40" s="2" t="s">
        <v>611</v>
      </c>
      <c r="L40" s="28">
        <v>43858</v>
      </c>
      <c r="M40" s="2" t="s">
        <v>612</v>
      </c>
      <c r="N40" s="2" t="s">
        <v>612</v>
      </c>
      <c r="O40" s="2"/>
      <c r="P40" s="2" t="s">
        <v>11</v>
      </c>
      <c r="Q40" s="2" t="s">
        <v>26</v>
      </c>
      <c r="R40" s="2" t="s">
        <v>13</v>
      </c>
      <c r="S40" s="61">
        <v>35</v>
      </c>
      <c r="T40" s="2"/>
      <c r="U40" s="2"/>
      <c r="V40" s="2"/>
      <c r="W40" s="2"/>
      <c r="X40" s="2"/>
      <c r="Y40" s="2" t="s">
        <v>602</v>
      </c>
      <c r="Z40" s="2"/>
      <c r="AA40" s="2"/>
      <c r="AB40" s="2"/>
      <c r="AC40" s="2"/>
      <c r="AD40" s="2"/>
      <c r="AE40" s="2"/>
      <c r="AF40" s="30">
        <v>44202</v>
      </c>
      <c r="AG40" s="34">
        <v>44202</v>
      </c>
      <c r="AH40" s="34">
        <v>44232</v>
      </c>
      <c r="AI40" s="30"/>
      <c r="AJ40" s="61">
        <f ca="1">IF(Table13[[#This Row],[RFC Remark]]="DONE",Table13[[#This Row],[RFC Date]]-Table13[[#This Row],[STIP Date]],$AJ$2-Table13[[#This Row],[STIP Date]])</f>
        <v>976</v>
      </c>
      <c r="AK40" s="2"/>
      <c r="AL40" s="2"/>
      <c r="AM40" s="2"/>
      <c r="AN40" s="2" t="s">
        <v>313</v>
      </c>
      <c r="AO40" s="2"/>
      <c r="AP40" s="44"/>
      <c r="AQ40" s="44"/>
      <c r="AR40" s="2"/>
    </row>
    <row r="41" spans="1:44" ht="15" hidden="1" customHeight="1">
      <c r="A41" s="24" t="s">
        <v>246</v>
      </c>
      <c r="B41" s="5" t="s">
        <v>345</v>
      </c>
      <c r="C41" s="19" t="s">
        <v>436</v>
      </c>
      <c r="D41" s="15" t="s">
        <v>613</v>
      </c>
      <c r="E41" s="5" t="s">
        <v>613</v>
      </c>
      <c r="F41" s="5" t="s">
        <v>10</v>
      </c>
      <c r="G41" s="5" t="s">
        <v>100</v>
      </c>
      <c r="H41" s="5" t="s">
        <v>54</v>
      </c>
      <c r="I41" s="2" t="s">
        <v>4</v>
      </c>
      <c r="J41" s="46">
        <f t="shared" si="1"/>
        <v>43858</v>
      </c>
      <c r="K41" s="2" t="s">
        <v>614</v>
      </c>
      <c r="L41" s="28">
        <v>43858</v>
      </c>
      <c r="M41" s="2" t="s">
        <v>615</v>
      </c>
      <c r="N41" s="2" t="s">
        <v>615</v>
      </c>
      <c r="O41" s="2"/>
      <c r="P41" s="2" t="s">
        <v>5</v>
      </c>
      <c r="Q41" s="2" t="s">
        <v>497</v>
      </c>
      <c r="R41" s="2" t="s">
        <v>13</v>
      </c>
      <c r="S41" s="61">
        <v>35</v>
      </c>
      <c r="T41" s="2"/>
      <c r="U41" s="2"/>
      <c r="V41" s="2"/>
      <c r="W41" s="2"/>
      <c r="X41" s="2"/>
      <c r="Y41" s="2" t="s">
        <v>602</v>
      </c>
      <c r="Z41" s="2"/>
      <c r="AA41" s="2"/>
      <c r="AB41" s="2"/>
      <c r="AC41" s="2"/>
      <c r="AD41" s="2"/>
      <c r="AE41" s="2"/>
      <c r="AF41" s="30">
        <v>44202</v>
      </c>
      <c r="AG41" s="34">
        <v>44202</v>
      </c>
      <c r="AH41" s="34">
        <v>44232</v>
      </c>
      <c r="AI41" s="30"/>
      <c r="AJ41" s="61">
        <f ca="1">IF(Table13[[#This Row],[RFC Remark]]="DONE",Table13[[#This Row],[RFC Date]]-Table13[[#This Row],[STIP Date]],$AJ$2-Table13[[#This Row],[STIP Date]])</f>
        <v>976</v>
      </c>
      <c r="AK41" s="2"/>
      <c r="AL41" s="2"/>
      <c r="AM41" s="2"/>
      <c r="AN41" s="2" t="s">
        <v>313</v>
      </c>
      <c r="AO41" s="2"/>
      <c r="AP41" s="44"/>
      <c r="AQ41" s="44"/>
      <c r="AR41" s="2"/>
    </row>
    <row r="42" spans="1:44" ht="15" hidden="1" customHeight="1">
      <c r="A42" s="23" t="s">
        <v>247</v>
      </c>
      <c r="B42" s="5" t="s">
        <v>346</v>
      </c>
      <c r="C42" s="19" t="s">
        <v>437</v>
      </c>
      <c r="D42" s="15" t="s">
        <v>616</v>
      </c>
      <c r="E42" s="5" t="s">
        <v>616</v>
      </c>
      <c r="F42" s="5" t="s">
        <v>10</v>
      </c>
      <c r="G42" s="5" t="s">
        <v>100</v>
      </c>
      <c r="H42" s="5" t="s">
        <v>54</v>
      </c>
      <c r="I42" s="2" t="s">
        <v>4</v>
      </c>
      <c r="J42" s="46">
        <f t="shared" si="1"/>
        <v>43858</v>
      </c>
      <c r="K42" s="2" t="s">
        <v>617</v>
      </c>
      <c r="L42" s="28">
        <v>43858</v>
      </c>
      <c r="M42" s="2" t="s">
        <v>618</v>
      </c>
      <c r="N42" s="2" t="s">
        <v>618</v>
      </c>
      <c r="O42" s="2"/>
      <c r="P42" s="2" t="s">
        <v>11</v>
      </c>
      <c r="Q42" s="2" t="s">
        <v>53</v>
      </c>
      <c r="R42" s="2" t="s">
        <v>13</v>
      </c>
      <c r="S42" s="61">
        <v>35</v>
      </c>
      <c r="T42" s="2"/>
      <c r="U42" s="2"/>
      <c r="V42" s="2"/>
      <c r="W42" s="2"/>
      <c r="X42" s="2"/>
      <c r="Y42" s="2" t="s">
        <v>602</v>
      </c>
      <c r="Z42" s="2"/>
      <c r="AA42" s="2"/>
      <c r="AB42" s="2"/>
      <c r="AC42" s="2"/>
      <c r="AD42" s="2"/>
      <c r="AE42" s="2"/>
      <c r="AF42" s="30">
        <v>44202</v>
      </c>
      <c r="AG42" s="34">
        <v>44202</v>
      </c>
      <c r="AH42" s="34">
        <v>44232</v>
      </c>
      <c r="AI42" s="30"/>
      <c r="AJ42" s="61">
        <f ca="1">IF(Table13[[#This Row],[RFC Remark]]="DONE",Table13[[#This Row],[RFC Date]]-Table13[[#This Row],[STIP Date]],$AJ$2-Table13[[#This Row],[STIP Date]])</f>
        <v>976</v>
      </c>
      <c r="AK42" s="2"/>
      <c r="AL42" s="2"/>
      <c r="AM42" s="2"/>
      <c r="AN42" s="2" t="s">
        <v>313</v>
      </c>
      <c r="AO42" s="2"/>
      <c r="AP42" s="44"/>
      <c r="AQ42" s="44"/>
      <c r="AR42" s="2"/>
    </row>
    <row r="43" spans="1:44" ht="15" hidden="1" customHeight="1">
      <c r="A43" s="24" t="s">
        <v>248</v>
      </c>
      <c r="B43" s="5" t="s">
        <v>347</v>
      </c>
      <c r="C43" s="19" t="s">
        <v>438</v>
      </c>
      <c r="D43" s="15" t="s">
        <v>619</v>
      </c>
      <c r="E43" s="5" t="s">
        <v>619</v>
      </c>
      <c r="F43" s="5" t="s">
        <v>10</v>
      </c>
      <c r="G43" s="5" t="s">
        <v>100</v>
      </c>
      <c r="H43" s="5" t="s">
        <v>54</v>
      </c>
      <c r="I43" s="2" t="s">
        <v>4</v>
      </c>
      <c r="J43" s="46">
        <f t="shared" si="1"/>
        <v>43858</v>
      </c>
      <c r="K43" s="2" t="s">
        <v>620</v>
      </c>
      <c r="L43" s="28">
        <v>43858</v>
      </c>
      <c r="M43" s="2" t="s">
        <v>621</v>
      </c>
      <c r="N43" s="2" t="s">
        <v>621</v>
      </c>
      <c r="O43" s="2"/>
      <c r="P43" s="2" t="s">
        <v>11</v>
      </c>
      <c r="Q43" s="2" t="s">
        <v>19</v>
      </c>
      <c r="R43" s="2" t="s">
        <v>20</v>
      </c>
      <c r="S43" s="61">
        <v>30</v>
      </c>
      <c r="T43" s="2"/>
      <c r="U43" s="2"/>
      <c r="V43" s="2"/>
      <c r="W43" s="2"/>
      <c r="X43" s="2"/>
      <c r="Y43" s="2" t="s">
        <v>506</v>
      </c>
      <c r="Z43" s="2"/>
      <c r="AA43" s="2"/>
      <c r="AB43" s="2"/>
      <c r="AC43" s="2"/>
      <c r="AD43" s="2"/>
      <c r="AE43" s="2"/>
      <c r="AF43" s="30">
        <v>44202</v>
      </c>
      <c r="AG43" s="34">
        <v>44202</v>
      </c>
      <c r="AH43" s="34">
        <v>44232</v>
      </c>
      <c r="AI43" s="30"/>
      <c r="AJ43" s="61">
        <f ca="1">IF(Table13[[#This Row],[RFC Remark]]="DONE",Table13[[#This Row],[RFC Date]]-Table13[[#This Row],[STIP Date]],$AJ$2-Table13[[#This Row],[STIP Date]])</f>
        <v>976</v>
      </c>
      <c r="AK43" s="2"/>
      <c r="AL43" s="2"/>
      <c r="AM43" s="2"/>
      <c r="AN43" s="2" t="s">
        <v>313</v>
      </c>
      <c r="AO43" s="2"/>
      <c r="AP43" s="44"/>
      <c r="AQ43" s="44"/>
      <c r="AR43" s="2"/>
    </row>
    <row r="44" spans="1:44" ht="15" hidden="1" customHeight="1">
      <c r="A44" s="23" t="s">
        <v>249</v>
      </c>
      <c r="B44" s="2" t="s">
        <v>348</v>
      </c>
      <c r="C44" s="2" t="s">
        <v>439</v>
      </c>
      <c r="D44" s="36" t="s">
        <v>622</v>
      </c>
      <c r="E44" s="2" t="s">
        <v>622</v>
      </c>
      <c r="F44" s="2" t="s">
        <v>10</v>
      </c>
      <c r="G44" s="2" t="s">
        <v>100</v>
      </c>
      <c r="H44" s="2" t="s">
        <v>54</v>
      </c>
      <c r="I44" s="2" t="s">
        <v>4</v>
      </c>
      <c r="J44" s="46">
        <f t="shared" si="1"/>
        <v>43858</v>
      </c>
      <c r="K44" s="2" t="s">
        <v>623</v>
      </c>
      <c r="L44" s="28">
        <v>43858</v>
      </c>
      <c r="M44" s="2" t="s">
        <v>624</v>
      </c>
      <c r="N44" s="2" t="s">
        <v>624</v>
      </c>
      <c r="O44" s="2"/>
      <c r="P44" s="2" t="s">
        <v>5</v>
      </c>
      <c r="Q44" s="2" t="s">
        <v>497</v>
      </c>
      <c r="R44" s="2" t="s">
        <v>13</v>
      </c>
      <c r="S44" s="61">
        <v>32</v>
      </c>
      <c r="T44" s="2"/>
      <c r="U44" s="2"/>
      <c r="V44" s="2"/>
      <c r="W44" s="2"/>
      <c r="X44" s="2"/>
      <c r="Y44" s="2" t="s">
        <v>498</v>
      </c>
      <c r="Z44" s="2"/>
      <c r="AA44" s="2"/>
      <c r="AB44" s="2"/>
      <c r="AC44" s="2"/>
      <c r="AD44" s="2"/>
      <c r="AE44" s="2"/>
      <c r="AF44" s="30">
        <v>44202</v>
      </c>
      <c r="AG44" s="34">
        <v>44202</v>
      </c>
      <c r="AH44" s="34">
        <v>44232</v>
      </c>
      <c r="AI44" s="30"/>
      <c r="AJ44" s="61">
        <f ca="1">IF(Table13[[#This Row],[RFC Remark]]="DONE",Table13[[#This Row],[RFC Date]]-Table13[[#This Row],[STIP Date]],$AJ$2-Table13[[#This Row],[STIP Date]])</f>
        <v>976</v>
      </c>
      <c r="AK44" s="2"/>
      <c r="AL44" s="2"/>
      <c r="AM44" s="2"/>
      <c r="AN44" s="2" t="s">
        <v>313</v>
      </c>
      <c r="AO44" s="2"/>
      <c r="AP44" s="44"/>
      <c r="AQ44" s="44"/>
      <c r="AR44" s="2"/>
    </row>
    <row r="45" spans="1:44" ht="15" hidden="1" customHeight="1">
      <c r="A45" s="6" t="s">
        <v>59</v>
      </c>
      <c r="B45" s="6" t="s">
        <v>139</v>
      </c>
      <c r="C45" s="13" t="s">
        <v>140</v>
      </c>
      <c r="D45" s="15" t="s">
        <v>60</v>
      </c>
      <c r="E45" s="6" t="s">
        <v>159</v>
      </c>
      <c r="F45" s="6" t="s">
        <v>2</v>
      </c>
      <c r="G45" s="4" t="s">
        <v>100</v>
      </c>
      <c r="H45" s="6" t="s">
        <v>54</v>
      </c>
      <c r="I45" s="6" t="s">
        <v>4</v>
      </c>
      <c r="J45" s="47">
        <v>2020</v>
      </c>
      <c r="K45" s="5" t="s">
        <v>625</v>
      </c>
      <c r="L45" s="7">
        <v>43871</v>
      </c>
      <c r="M45" s="5" t="s">
        <v>626</v>
      </c>
      <c r="N45" s="5" t="s">
        <v>627</v>
      </c>
      <c r="O45" s="5"/>
      <c r="P45" s="6" t="s">
        <v>5</v>
      </c>
      <c r="Q45" s="6" t="s">
        <v>35</v>
      </c>
      <c r="R45" s="6" t="s">
        <v>7</v>
      </c>
      <c r="S45" s="62">
        <v>20</v>
      </c>
      <c r="T45" s="5" t="s">
        <v>628</v>
      </c>
      <c r="U45" s="5"/>
      <c r="V45" s="5"/>
      <c r="W45" s="5"/>
      <c r="X45" s="5"/>
      <c r="Y45" s="5"/>
      <c r="Z45" s="5"/>
      <c r="AA45" s="5"/>
      <c r="AB45" s="5"/>
      <c r="AC45" s="5"/>
      <c r="AD45" s="5" t="s">
        <v>567</v>
      </c>
      <c r="AE45" s="5" t="s">
        <v>171</v>
      </c>
      <c r="AF45" s="31">
        <v>44202</v>
      </c>
      <c r="AG45" s="34">
        <v>44202</v>
      </c>
      <c r="AH45" s="34">
        <v>44232</v>
      </c>
      <c r="AI45" s="31"/>
      <c r="AJ45" s="22">
        <f ca="1">IF(Table13[[#This Row],[RFC Remark]]="DONE",Table13[[#This Row],[RFC Date]]-Table13[[#This Row],[STIP Date]],$AJ$2-Table13[[#This Row],[STIP Date]])</f>
        <v>963</v>
      </c>
      <c r="AK45" s="5"/>
      <c r="AL45" s="5"/>
      <c r="AM45" s="2"/>
      <c r="AN45" s="2" t="s">
        <v>313</v>
      </c>
      <c r="AO45" s="5"/>
      <c r="AP45" s="43"/>
      <c r="AQ45" s="43"/>
      <c r="AR45" s="5"/>
    </row>
    <row r="46" spans="1:44" ht="15" hidden="1" customHeight="1">
      <c r="A46" s="23" t="s">
        <v>250</v>
      </c>
      <c r="B46" s="2" t="s">
        <v>349</v>
      </c>
      <c r="C46" s="2" t="s">
        <v>440</v>
      </c>
      <c r="D46" s="36" t="s">
        <v>629</v>
      </c>
      <c r="E46" s="2" t="s">
        <v>630</v>
      </c>
      <c r="F46" s="2" t="s">
        <v>10</v>
      </c>
      <c r="G46" s="2" t="s">
        <v>100</v>
      </c>
      <c r="H46" s="2" t="s">
        <v>54</v>
      </c>
      <c r="I46" s="2" t="s">
        <v>4</v>
      </c>
      <c r="J46" s="46">
        <f t="shared" ref="J46:J62" si="2">L46</f>
        <v>43871</v>
      </c>
      <c r="K46" s="2" t="s">
        <v>631</v>
      </c>
      <c r="L46" s="28">
        <v>43871</v>
      </c>
      <c r="M46" s="2" t="s">
        <v>632</v>
      </c>
      <c r="N46" s="2" t="s">
        <v>632</v>
      </c>
      <c r="O46" s="2"/>
      <c r="P46" s="2" t="s">
        <v>11</v>
      </c>
      <c r="Q46" s="2" t="s">
        <v>19</v>
      </c>
      <c r="R46" s="2" t="s">
        <v>20</v>
      </c>
      <c r="S46" s="61">
        <v>42</v>
      </c>
      <c r="T46" s="2"/>
      <c r="U46" s="2"/>
      <c r="V46" s="2"/>
      <c r="W46" s="2"/>
      <c r="X46" s="2"/>
      <c r="Y46" s="2" t="s">
        <v>633</v>
      </c>
      <c r="Z46" s="2"/>
      <c r="AA46" s="2"/>
      <c r="AB46" s="2"/>
      <c r="AC46" s="2"/>
      <c r="AD46" s="2"/>
      <c r="AE46" s="2"/>
      <c r="AF46" s="30">
        <v>44202</v>
      </c>
      <c r="AG46" s="34">
        <v>44202</v>
      </c>
      <c r="AH46" s="34">
        <v>44232</v>
      </c>
      <c r="AI46" s="30"/>
      <c r="AJ46" s="61">
        <f ca="1">IF(Table13[[#This Row],[RFC Remark]]="DONE",Table13[[#This Row],[RFC Date]]-Table13[[#This Row],[STIP Date]],$AJ$2-Table13[[#This Row],[STIP Date]])</f>
        <v>963</v>
      </c>
      <c r="AK46" s="2"/>
      <c r="AL46" s="2"/>
      <c r="AM46" s="2"/>
      <c r="AN46" s="2" t="s">
        <v>313</v>
      </c>
      <c r="AO46" s="2"/>
      <c r="AP46" s="44"/>
      <c r="AQ46" s="44"/>
      <c r="AR46" s="2"/>
    </row>
    <row r="47" spans="1:44" ht="15" hidden="1" customHeight="1">
      <c r="A47" s="24" t="s">
        <v>251</v>
      </c>
      <c r="B47" s="5" t="s">
        <v>350</v>
      </c>
      <c r="C47" s="19" t="s">
        <v>441</v>
      </c>
      <c r="D47" s="15" t="s">
        <v>634</v>
      </c>
      <c r="E47" s="5" t="s">
        <v>635</v>
      </c>
      <c r="F47" s="5" t="s">
        <v>10</v>
      </c>
      <c r="G47" s="5" t="s">
        <v>100</v>
      </c>
      <c r="H47" s="5" t="s">
        <v>54</v>
      </c>
      <c r="I47" s="5" t="s">
        <v>4</v>
      </c>
      <c r="J47" s="46">
        <f t="shared" si="2"/>
        <v>43871</v>
      </c>
      <c r="K47" s="5" t="s">
        <v>636</v>
      </c>
      <c r="L47" s="7">
        <v>43871</v>
      </c>
      <c r="M47" s="7" t="s">
        <v>637</v>
      </c>
      <c r="N47" s="7" t="s">
        <v>637</v>
      </c>
      <c r="O47" s="2"/>
      <c r="P47" s="2" t="s">
        <v>11</v>
      </c>
      <c r="Q47" s="2" t="s">
        <v>638</v>
      </c>
      <c r="R47" s="2" t="s">
        <v>13</v>
      </c>
      <c r="S47" s="61">
        <v>42</v>
      </c>
      <c r="T47" s="2"/>
      <c r="U47" s="2"/>
      <c r="V47" s="2"/>
      <c r="W47" s="2"/>
      <c r="X47" s="2"/>
      <c r="Y47" s="2" t="s">
        <v>633</v>
      </c>
      <c r="Z47" s="2"/>
      <c r="AA47" s="2"/>
      <c r="AB47" s="2"/>
      <c r="AC47" s="2"/>
      <c r="AD47" s="2"/>
      <c r="AE47" s="2"/>
      <c r="AF47" s="30">
        <v>44202</v>
      </c>
      <c r="AG47" s="34">
        <v>44202</v>
      </c>
      <c r="AH47" s="34">
        <v>44232</v>
      </c>
      <c r="AI47" s="30"/>
      <c r="AJ47" s="61">
        <f ca="1">IF(Table13[[#This Row],[RFC Remark]]="DONE",Table13[[#This Row],[RFC Date]]-Table13[[#This Row],[STIP Date]],$AJ$2-Table13[[#This Row],[STIP Date]])</f>
        <v>963</v>
      </c>
      <c r="AK47" s="2"/>
      <c r="AL47" s="2"/>
      <c r="AM47" s="2"/>
      <c r="AN47" s="2" t="s">
        <v>313</v>
      </c>
      <c r="AO47" s="2"/>
      <c r="AP47" s="44"/>
      <c r="AQ47" s="44"/>
      <c r="AR47" s="2"/>
    </row>
    <row r="48" spans="1:44" ht="15" hidden="1" customHeight="1">
      <c r="A48" s="24" t="s">
        <v>252</v>
      </c>
      <c r="B48" s="5" t="s">
        <v>351</v>
      </c>
      <c r="C48" s="19" t="s">
        <v>442</v>
      </c>
      <c r="D48" s="15" t="s">
        <v>639</v>
      </c>
      <c r="E48" s="5" t="s">
        <v>640</v>
      </c>
      <c r="F48" s="5" t="s">
        <v>10</v>
      </c>
      <c r="G48" s="5" t="s">
        <v>100</v>
      </c>
      <c r="H48" s="5" t="s">
        <v>54</v>
      </c>
      <c r="I48" s="5" t="s">
        <v>4</v>
      </c>
      <c r="J48" s="46">
        <f t="shared" si="2"/>
        <v>43871</v>
      </c>
      <c r="K48" s="5" t="s">
        <v>641</v>
      </c>
      <c r="L48" s="7">
        <v>43871</v>
      </c>
      <c r="M48" s="7" t="s">
        <v>642</v>
      </c>
      <c r="N48" s="7" t="s">
        <v>642</v>
      </c>
      <c r="O48" s="2"/>
      <c r="P48" s="2" t="s">
        <v>11</v>
      </c>
      <c r="Q48" s="2" t="s">
        <v>638</v>
      </c>
      <c r="R48" s="2" t="s">
        <v>13</v>
      </c>
      <c r="S48" s="61">
        <v>42</v>
      </c>
      <c r="T48" s="2"/>
      <c r="U48" s="2"/>
      <c r="V48" s="2"/>
      <c r="W48" s="2"/>
      <c r="X48" s="2"/>
      <c r="Y48" s="2" t="s">
        <v>633</v>
      </c>
      <c r="Z48" s="2"/>
      <c r="AA48" s="2"/>
      <c r="AB48" s="2"/>
      <c r="AC48" s="2"/>
      <c r="AD48" s="2"/>
      <c r="AE48" s="2"/>
      <c r="AF48" s="30">
        <v>44202</v>
      </c>
      <c r="AG48" s="34">
        <v>44202</v>
      </c>
      <c r="AH48" s="34">
        <v>44232</v>
      </c>
      <c r="AI48" s="30"/>
      <c r="AJ48" s="61">
        <f ca="1">IF(Table13[[#This Row],[RFC Remark]]="DONE",Table13[[#This Row],[RFC Date]]-Table13[[#This Row],[STIP Date]],$AJ$2-Table13[[#This Row],[STIP Date]])</f>
        <v>963</v>
      </c>
      <c r="AK48" s="2"/>
      <c r="AL48" s="2"/>
      <c r="AM48" s="2"/>
      <c r="AN48" s="2" t="s">
        <v>313</v>
      </c>
      <c r="AO48" s="2"/>
      <c r="AP48" s="44"/>
      <c r="AQ48" s="44"/>
      <c r="AR48" s="2"/>
    </row>
    <row r="49" spans="1:44" ht="15" hidden="1" customHeight="1">
      <c r="A49" s="24" t="s">
        <v>253</v>
      </c>
      <c r="B49" s="5" t="s">
        <v>352</v>
      </c>
      <c r="C49" s="19" t="s">
        <v>443</v>
      </c>
      <c r="D49" s="15" t="s">
        <v>643</v>
      </c>
      <c r="E49" s="5" t="s">
        <v>644</v>
      </c>
      <c r="F49" s="5" t="s">
        <v>10</v>
      </c>
      <c r="G49" s="5" t="s">
        <v>100</v>
      </c>
      <c r="H49" s="5" t="s">
        <v>54</v>
      </c>
      <c r="I49" s="5" t="s">
        <v>4</v>
      </c>
      <c r="J49" s="46">
        <f t="shared" si="2"/>
        <v>43871</v>
      </c>
      <c r="K49" s="5" t="s">
        <v>645</v>
      </c>
      <c r="L49" s="7">
        <v>43871</v>
      </c>
      <c r="M49" s="7" t="s">
        <v>646</v>
      </c>
      <c r="N49" s="7" t="s">
        <v>646</v>
      </c>
      <c r="O49" s="2"/>
      <c r="P49" s="2" t="s">
        <v>11</v>
      </c>
      <c r="Q49" s="2" t="s">
        <v>638</v>
      </c>
      <c r="R49" s="2" t="s">
        <v>13</v>
      </c>
      <c r="S49" s="61">
        <v>42</v>
      </c>
      <c r="T49" s="2"/>
      <c r="U49" s="2"/>
      <c r="V49" s="2"/>
      <c r="W49" s="2"/>
      <c r="X49" s="2"/>
      <c r="Y49" s="2" t="s">
        <v>633</v>
      </c>
      <c r="Z49" s="2"/>
      <c r="AA49" s="2"/>
      <c r="AB49" s="2"/>
      <c r="AC49" s="2"/>
      <c r="AD49" s="2"/>
      <c r="AE49" s="2"/>
      <c r="AF49" s="30">
        <v>44202</v>
      </c>
      <c r="AG49" s="34">
        <v>44202</v>
      </c>
      <c r="AH49" s="34">
        <v>44232</v>
      </c>
      <c r="AI49" s="30"/>
      <c r="AJ49" s="61">
        <f ca="1">IF(Table13[[#This Row],[RFC Remark]]="DONE",Table13[[#This Row],[RFC Date]]-Table13[[#This Row],[STIP Date]],$AJ$2-Table13[[#This Row],[STIP Date]])</f>
        <v>963</v>
      </c>
      <c r="AK49" s="2"/>
      <c r="AL49" s="2"/>
      <c r="AM49" s="2"/>
      <c r="AN49" s="2" t="s">
        <v>313</v>
      </c>
      <c r="AO49" s="2"/>
      <c r="AP49" s="44"/>
      <c r="AQ49" s="44"/>
      <c r="AR49" s="2"/>
    </row>
    <row r="50" spans="1:44" ht="15" hidden="1" customHeight="1">
      <c r="A50" s="23" t="s">
        <v>254</v>
      </c>
      <c r="B50" s="2" t="s">
        <v>353</v>
      </c>
      <c r="C50" s="2" t="s">
        <v>444</v>
      </c>
      <c r="D50" s="36" t="s">
        <v>647</v>
      </c>
      <c r="E50" s="2" t="s">
        <v>648</v>
      </c>
      <c r="F50" s="2" t="s">
        <v>10</v>
      </c>
      <c r="G50" s="2" t="s">
        <v>100</v>
      </c>
      <c r="H50" s="2" t="s">
        <v>54</v>
      </c>
      <c r="I50" s="2" t="s">
        <v>4</v>
      </c>
      <c r="J50" s="46">
        <f t="shared" si="2"/>
        <v>43871</v>
      </c>
      <c r="K50" s="2" t="s">
        <v>649</v>
      </c>
      <c r="L50" s="28">
        <v>43871</v>
      </c>
      <c r="M50" s="2" t="s">
        <v>650</v>
      </c>
      <c r="N50" s="2" t="s">
        <v>650</v>
      </c>
      <c r="O50" s="2"/>
      <c r="P50" s="2" t="s">
        <v>11</v>
      </c>
      <c r="Q50" s="2" t="s">
        <v>638</v>
      </c>
      <c r="R50" s="2" t="s">
        <v>13</v>
      </c>
      <c r="S50" s="61">
        <v>42</v>
      </c>
      <c r="T50" s="2"/>
      <c r="U50" s="2"/>
      <c r="V50" s="2"/>
      <c r="W50" s="2"/>
      <c r="X50" s="2"/>
      <c r="Y50" s="2" t="s">
        <v>633</v>
      </c>
      <c r="Z50" s="2"/>
      <c r="AA50" s="2"/>
      <c r="AB50" s="2"/>
      <c r="AC50" s="2"/>
      <c r="AD50" s="2"/>
      <c r="AE50" s="2"/>
      <c r="AF50" s="30">
        <v>44202</v>
      </c>
      <c r="AG50" s="34">
        <v>44202</v>
      </c>
      <c r="AH50" s="34">
        <v>44232</v>
      </c>
      <c r="AI50" s="30"/>
      <c r="AJ50" s="61">
        <f ca="1">IF(Table13[[#This Row],[RFC Remark]]="DONE",Table13[[#This Row],[RFC Date]]-Table13[[#This Row],[STIP Date]],$AJ$2-Table13[[#This Row],[STIP Date]])</f>
        <v>963</v>
      </c>
      <c r="AK50" s="2"/>
      <c r="AL50" s="2"/>
      <c r="AM50" s="2"/>
      <c r="AN50" s="2" t="s">
        <v>313</v>
      </c>
      <c r="AO50" s="2"/>
      <c r="AP50" s="44"/>
      <c r="AQ50" s="44"/>
      <c r="AR50" s="2"/>
    </row>
    <row r="51" spans="1:44" ht="15" hidden="1" customHeight="1">
      <c r="A51" s="24" t="s">
        <v>255</v>
      </c>
      <c r="B51" s="2" t="s">
        <v>354</v>
      </c>
      <c r="C51" s="2" t="s">
        <v>445</v>
      </c>
      <c r="D51" s="36" t="s">
        <v>651</v>
      </c>
      <c r="E51" s="2" t="s">
        <v>652</v>
      </c>
      <c r="F51" s="2" t="s">
        <v>10</v>
      </c>
      <c r="G51" s="2" t="s">
        <v>100</v>
      </c>
      <c r="H51" s="2" t="s">
        <v>54</v>
      </c>
      <c r="I51" s="2" t="s">
        <v>4</v>
      </c>
      <c r="J51" s="46">
        <f t="shared" si="2"/>
        <v>43871</v>
      </c>
      <c r="K51" s="2" t="s">
        <v>653</v>
      </c>
      <c r="L51" s="28">
        <v>43871</v>
      </c>
      <c r="M51" s="2" t="s">
        <v>654</v>
      </c>
      <c r="N51" s="2" t="s">
        <v>654</v>
      </c>
      <c r="O51" s="2"/>
      <c r="P51" s="2" t="s">
        <v>11</v>
      </c>
      <c r="Q51" s="2" t="s">
        <v>638</v>
      </c>
      <c r="R51" s="2" t="s">
        <v>13</v>
      </c>
      <c r="S51" s="61">
        <v>42</v>
      </c>
      <c r="T51" s="2"/>
      <c r="U51" s="2"/>
      <c r="V51" s="2"/>
      <c r="W51" s="2"/>
      <c r="X51" s="2"/>
      <c r="Y51" s="2" t="s">
        <v>633</v>
      </c>
      <c r="Z51" s="2"/>
      <c r="AA51" s="2"/>
      <c r="AB51" s="2"/>
      <c r="AC51" s="2"/>
      <c r="AD51" s="2"/>
      <c r="AE51" s="2"/>
      <c r="AF51" s="30">
        <v>44202</v>
      </c>
      <c r="AG51" s="34">
        <v>44202</v>
      </c>
      <c r="AH51" s="34">
        <v>44232</v>
      </c>
      <c r="AI51" s="30"/>
      <c r="AJ51" s="61">
        <f ca="1">IF(Table13[[#This Row],[RFC Remark]]="DONE",Table13[[#This Row],[RFC Date]]-Table13[[#This Row],[STIP Date]],$AJ$2-Table13[[#This Row],[STIP Date]])</f>
        <v>963</v>
      </c>
      <c r="AK51" s="2"/>
      <c r="AL51" s="2"/>
      <c r="AM51" s="2"/>
      <c r="AN51" s="2" t="s">
        <v>313</v>
      </c>
      <c r="AO51" s="2"/>
      <c r="AP51" s="44"/>
      <c r="AQ51" s="44"/>
      <c r="AR51" s="2"/>
    </row>
    <row r="52" spans="1:44" ht="15" hidden="1" customHeight="1">
      <c r="A52" s="23" t="s">
        <v>256</v>
      </c>
      <c r="B52" s="2" t="s">
        <v>355</v>
      </c>
      <c r="C52" s="2" t="s">
        <v>446</v>
      </c>
      <c r="D52" s="36" t="s">
        <v>655</v>
      </c>
      <c r="E52" s="2" t="s">
        <v>656</v>
      </c>
      <c r="F52" s="2" t="s">
        <v>10</v>
      </c>
      <c r="G52" s="2" t="s">
        <v>100</v>
      </c>
      <c r="H52" s="2" t="s">
        <v>54</v>
      </c>
      <c r="I52" s="2" t="s">
        <v>4</v>
      </c>
      <c r="J52" s="46">
        <f t="shared" si="2"/>
        <v>43871</v>
      </c>
      <c r="K52" s="2" t="s">
        <v>657</v>
      </c>
      <c r="L52" s="28">
        <v>43871</v>
      </c>
      <c r="M52" s="2" t="s">
        <v>658</v>
      </c>
      <c r="N52" s="2" t="s">
        <v>658</v>
      </c>
      <c r="O52" s="2"/>
      <c r="P52" s="2" t="s">
        <v>11</v>
      </c>
      <c r="Q52" s="2" t="s">
        <v>659</v>
      </c>
      <c r="R52" s="2" t="s">
        <v>13</v>
      </c>
      <c r="S52" s="61">
        <v>32</v>
      </c>
      <c r="T52" s="2"/>
      <c r="U52" s="2"/>
      <c r="V52" s="2"/>
      <c r="W52" s="2"/>
      <c r="X52" s="2"/>
      <c r="Y52" s="2" t="s">
        <v>498</v>
      </c>
      <c r="Z52" s="2"/>
      <c r="AA52" s="2"/>
      <c r="AB52" s="2"/>
      <c r="AC52" s="2"/>
      <c r="AD52" s="2"/>
      <c r="AE52" s="2"/>
      <c r="AF52" s="30">
        <v>44202</v>
      </c>
      <c r="AG52" s="34">
        <v>44202</v>
      </c>
      <c r="AH52" s="34">
        <v>44232</v>
      </c>
      <c r="AI52" s="30"/>
      <c r="AJ52" s="61">
        <f ca="1">IF(Table13[[#This Row],[RFC Remark]]="DONE",Table13[[#This Row],[RFC Date]]-Table13[[#This Row],[STIP Date]],$AJ$2-Table13[[#This Row],[STIP Date]])</f>
        <v>963</v>
      </c>
      <c r="AK52" s="2"/>
      <c r="AL52" s="2"/>
      <c r="AM52" s="2"/>
      <c r="AN52" s="2" t="s">
        <v>313</v>
      </c>
      <c r="AO52" s="2"/>
      <c r="AP52" s="44"/>
      <c r="AQ52" s="44"/>
      <c r="AR52" s="2"/>
    </row>
    <row r="53" spans="1:44" ht="15" hidden="1" customHeight="1">
      <c r="A53" s="24" t="s">
        <v>257</v>
      </c>
      <c r="B53" s="2" t="s">
        <v>356</v>
      </c>
      <c r="C53" s="2" t="s">
        <v>447</v>
      </c>
      <c r="D53" s="36" t="s">
        <v>660</v>
      </c>
      <c r="E53" s="2" t="s">
        <v>661</v>
      </c>
      <c r="F53" s="2" t="s">
        <v>10</v>
      </c>
      <c r="G53" s="2" t="s">
        <v>100</v>
      </c>
      <c r="H53" s="2" t="s">
        <v>54</v>
      </c>
      <c r="I53" s="2" t="s">
        <v>4</v>
      </c>
      <c r="J53" s="46">
        <f t="shared" si="2"/>
        <v>43871</v>
      </c>
      <c r="K53" s="2" t="s">
        <v>662</v>
      </c>
      <c r="L53" s="28">
        <v>43871</v>
      </c>
      <c r="M53" s="2" t="s">
        <v>663</v>
      </c>
      <c r="N53" s="2" t="s">
        <v>663</v>
      </c>
      <c r="O53" s="2"/>
      <c r="P53" s="2" t="s">
        <v>11</v>
      </c>
      <c r="Q53" s="2" t="s">
        <v>26</v>
      </c>
      <c r="R53" s="2" t="s">
        <v>13</v>
      </c>
      <c r="S53" s="61">
        <v>42</v>
      </c>
      <c r="T53" s="2"/>
      <c r="U53" s="2"/>
      <c r="V53" s="2"/>
      <c r="W53" s="2"/>
      <c r="X53" s="2"/>
      <c r="Y53" s="2" t="s">
        <v>633</v>
      </c>
      <c r="Z53" s="2"/>
      <c r="AA53" s="2"/>
      <c r="AB53" s="2"/>
      <c r="AC53" s="2"/>
      <c r="AD53" s="2"/>
      <c r="AE53" s="2"/>
      <c r="AF53" s="30">
        <v>44202</v>
      </c>
      <c r="AG53" s="34">
        <v>44202</v>
      </c>
      <c r="AH53" s="34">
        <v>44232</v>
      </c>
      <c r="AI53" s="30"/>
      <c r="AJ53" s="61">
        <f ca="1">IF(Table13[[#This Row],[RFC Remark]]="DONE",Table13[[#This Row],[RFC Date]]-Table13[[#This Row],[STIP Date]],$AJ$2-Table13[[#This Row],[STIP Date]])</f>
        <v>963</v>
      </c>
      <c r="AK53" s="2"/>
      <c r="AL53" s="2"/>
      <c r="AM53" s="2"/>
      <c r="AN53" s="2" t="s">
        <v>313</v>
      </c>
      <c r="AO53" s="2"/>
      <c r="AP53" s="44"/>
      <c r="AQ53" s="44"/>
      <c r="AR53" s="2"/>
    </row>
    <row r="54" spans="1:44" ht="15" hidden="1" customHeight="1">
      <c r="A54" s="23" t="s">
        <v>258</v>
      </c>
      <c r="B54" s="2" t="s">
        <v>357</v>
      </c>
      <c r="C54" s="2" t="s">
        <v>448</v>
      </c>
      <c r="D54" s="36" t="s">
        <v>664</v>
      </c>
      <c r="E54" s="2" t="s">
        <v>665</v>
      </c>
      <c r="F54" s="2" t="s">
        <v>10</v>
      </c>
      <c r="G54" s="2" t="s">
        <v>100</v>
      </c>
      <c r="H54" s="2" t="s">
        <v>54</v>
      </c>
      <c r="I54" s="2" t="s">
        <v>4</v>
      </c>
      <c r="J54" s="46">
        <f t="shared" si="2"/>
        <v>43871</v>
      </c>
      <c r="K54" s="2" t="s">
        <v>666</v>
      </c>
      <c r="L54" s="28">
        <v>43871</v>
      </c>
      <c r="M54" s="2" t="s">
        <v>667</v>
      </c>
      <c r="N54" s="2" t="s">
        <v>667</v>
      </c>
      <c r="O54" s="2"/>
      <c r="P54" s="2" t="s">
        <v>11</v>
      </c>
      <c r="Q54" s="2" t="s">
        <v>638</v>
      </c>
      <c r="R54" s="2" t="s">
        <v>13</v>
      </c>
      <c r="S54" s="61">
        <v>42</v>
      </c>
      <c r="T54" s="2"/>
      <c r="U54" s="2"/>
      <c r="V54" s="2"/>
      <c r="W54" s="2"/>
      <c r="X54" s="2"/>
      <c r="Y54" s="2" t="s">
        <v>633</v>
      </c>
      <c r="Z54" s="2"/>
      <c r="AA54" s="2"/>
      <c r="AB54" s="2"/>
      <c r="AC54" s="2"/>
      <c r="AD54" s="2"/>
      <c r="AE54" s="2"/>
      <c r="AF54" s="30">
        <v>44202</v>
      </c>
      <c r="AG54" s="34">
        <v>44202</v>
      </c>
      <c r="AH54" s="34">
        <v>44232</v>
      </c>
      <c r="AI54" s="30"/>
      <c r="AJ54" s="61">
        <f ca="1">IF(Table13[[#This Row],[RFC Remark]]="DONE",Table13[[#This Row],[RFC Date]]-Table13[[#This Row],[STIP Date]],$AJ$2-Table13[[#This Row],[STIP Date]])</f>
        <v>963</v>
      </c>
      <c r="AK54" s="2"/>
      <c r="AL54" s="2"/>
      <c r="AM54" s="2"/>
      <c r="AN54" s="2" t="s">
        <v>313</v>
      </c>
      <c r="AO54" s="2"/>
      <c r="AP54" s="44"/>
      <c r="AQ54" s="44"/>
      <c r="AR54" s="2"/>
    </row>
    <row r="55" spans="1:44" ht="15" hidden="1" customHeight="1">
      <c r="A55" s="24" t="s">
        <v>259</v>
      </c>
      <c r="B55" s="2" t="s">
        <v>358</v>
      </c>
      <c r="C55" s="2" t="s">
        <v>449</v>
      </c>
      <c r="D55" s="36" t="s">
        <v>668</v>
      </c>
      <c r="E55" s="2" t="s">
        <v>669</v>
      </c>
      <c r="F55" s="2" t="s">
        <v>10</v>
      </c>
      <c r="G55" s="2" t="s">
        <v>100</v>
      </c>
      <c r="H55" s="2" t="s">
        <v>54</v>
      </c>
      <c r="I55" s="2" t="s">
        <v>4</v>
      </c>
      <c r="J55" s="46">
        <f t="shared" si="2"/>
        <v>43871</v>
      </c>
      <c r="K55" s="2" t="s">
        <v>670</v>
      </c>
      <c r="L55" s="28">
        <v>43871</v>
      </c>
      <c r="M55" s="2" t="s">
        <v>671</v>
      </c>
      <c r="N55" s="2" t="s">
        <v>671</v>
      </c>
      <c r="O55" s="2"/>
      <c r="P55" s="2" t="s">
        <v>11</v>
      </c>
      <c r="Q55" s="2" t="s">
        <v>638</v>
      </c>
      <c r="R55" s="2" t="s">
        <v>13</v>
      </c>
      <c r="S55" s="61">
        <v>42</v>
      </c>
      <c r="T55" s="2"/>
      <c r="U55" s="2"/>
      <c r="V55" s="2"/>
      <c r="W55" s="2"/>
      <c r="X55" s="2"/>
      <c r="Y55" s="2" t="s">
        <v>633</v>
      </c>
      <c r="Z55" s="2"/>
      <c r="AA55" s="2"/>
      <c r="AB55" s="2"/>
      <c r="AC55" s="2"/>
      <c r="AD55" s="2"/>
      <c r="AE55" s="2"/>
      <c r="AF55" s="30">
        <v>44202</v>
      </c>
      <c r="AG55" s="34">
        <v>44202</v>
      </c>
      <c r="AH55" s="34">
        <v>44232</v>
      </c>
      <c r="AI55" s="30"/>
      <c r="AJ55" s="61">
        <f ca="1">IF(Table13[[#This Row],[RFC Remark]]="DONE",Table13[[#This Row],[RFC Date]]-Table13[[#This Row],[STIP Date]],$AJ$2-Table13[[#This Row],[STIP Date]])</f>
        <v>963</v>
      </c>
      <c r="AK55" s="2"/>
      <c r="AL55" s="2"/>
      <c r="AM55" s="2"/>
      <c r="AN55" s="2" t="s">
        <v>313</v>
      </c>
      <c r="AO55" s="2"/>
      <c r="AP55" s="44"/>
      <c r="AQ55" s="44"/>
      <c r="AR55" s="2"/>
    </row>
    <row r="56" spans="1:44" ht="15" hidden="1" customHeight="1">
      <c r="A56" s="23" t="s">
        <v>260</v>
      </c>
      <c r="B56" s="2" t="s">
        <v>359</v>
      </c>
      <c r="C56" s="2" t="s">
        <v>450</v>
      </c>
      <c r="D56" s="36" t="s">
        <v>672</v>
      </c>
      <c r="E56" s="2" t="s">
        <v>673</v>
      </c>
      <c r="F56" s="2" t="s">
        <v>10</v>
      </c>
      <c r="G56" s="2" t="s">
        <v>100</v>
      </c>
      <c r="H56" s="2" t="s">
        <v>54</v>
      </c>
      <c r="I56" s="2" t="s">
        <v>4</v>
      </c>
      <c r="J56" s="46">
        <f t="shared" si="2"/>
        <v>43871</v>
      </c>
      <c r="K56" s="2" t="s">
        <v>674</v>
      </c>
      <c r="L56" s="28">
        <v>43871</v>
      </c>
      <c r="M56" s="2" t="s">
        <v>675</v>
      </c>
      <c r="N56" s="2" t="s">
        <v>675</v>
      </c>
      <c r="O56" s="2"/>
      <c r="P56" s="2" t="s">
        <v>11</v>
      </c>
      <c r="Q56" s="2" t="s">
        <v>638</v>
      </c>
      <c r="R56" s="2" t="s">
        <v>13</v>
      </c>
      <c r="S56" s="61">
        <v>42</v>
      </c>
      <c r="T56" s="2"/>
      <c r="U56" s="2"/>
      <c r="V56" s="2"/>
      <c r="W56" s="2"/>
      <c r="X56" s="2"/>
      <c r="Y56" s="2" t="s">
        <v>633</v>
      </c>
      <c r="Z56" s="2"/>
      <c r="AA56" s="2"/>
      <c r="AB56" s="2"/>
      <c r="AC56" s="2"/>
      <c r="AD56" s="2"/>
      <c r="AE56" s="2"/>
      <c r="AF56" s="30">
        <v>44202</v>
      </c>
      <c r="AG56" s="34">
        <v>44202</v>
      </c>
      <c r="AH56" s="34">
        <v>44232</v>
      </c>
      <c r="AI56" s="30"/>
      <c r="AJ56" s="61">
        <f ca="1">IF(Table13[[#This Row],[RFC Remark]]="DONE",Table13[[#This Row],[RFC Date]]-Table13[[#This Row],[STIP Date]],$AJ$2-Table13[[#This Row],[STIP Date]])</f>
        <v>963</v>
      </c>
      <c r="AK56" s="2"/>
      <c r="AL56" s="2"/>
      <c r="AM56" s="2"/>
      <c r="AN56" s="2" t="s">
        <v>313</v>
      </c>
      <c r="AO56" s="2"/>
      <c r="AP56" s="44"/>
      <c r="AQ56" s="44"/>
      <c r="AR56" s="2"/>
    </row>
    <row r="57" spans="1:44" ht="15" hidden="1" customHeight="1">
      <c r="A57" s="24" t="s">
        <v>261</v>
      </c>
      <c r="B57" s="2" t="s">
        <v>360</v>
      </c>
      <c r="C57" s="2" t="s">
        <v>451</v>
      </c>
      <c r="D57" s="36" t="s">
        <v>676</v>
      </c>
      <c r="E57" s="2" t="s">
        <v>677</v>
      </c>
      <c r="F57" s="2" t="s">
        <v>10</v>
      </c>
      <c r="G57" s="2" t="s">
        <v>100</v>
      </c>
      <c r="H57" s="2" t="s">
        <v>54</v>
      </c>
      <c r="I57" s="2" t="s">
        <v>4</v>
      </c>
      <c r="J57" s="46">
        <f t="shared" si="2"/>
        <v>43871</v>
      </c>
      <c r="K57" s="2" t="s">
        <v>678</v>
      </c>
      <c r="L57" s="28">
        <v>43871</v>
      </c>
      <c r="M57" s="2" t="s">
        <v>679</v>
      </c>
      <c r="N57" s="2" t="s">
        <v>679</v>
      </c>
      <c r="O57" s="2"/>
      <c r="P57" s="2" t="s">
        <v>11</v>
      </c>
      <c r="Q57" s="2" t="s">
        <v>19</v>
      </c>
      <c r="R57" s="2" t="s">
        <v>20</v>
      </c>
      <c r="S57" s="61">
        <v>42</v>
      </c>
      <c r="T57" s="2"/>
      <c r="U57" s="2"/>
      <c r="V57" s="2"/>
      <c r="W57" s="2"/>
      <c r="X57" s="2"/>
      <c r="Y57" s="2" t="s">
        <v>633</v>
      </c>
      <c r="Z57" s="2"/>
      <c r="AA57" s="2"/>
      <c r="AB57" s="2"/>
      <c r="AC57" s="2"/>
      <c r="AD57" s="2"/>
      <c r="AE57" s="2"/>
      <c r="AF57" s="30">
        <v>44202</v>
      </c>
      <c r="AG57" s="34">
        <v>44202</v>
      </c>
      <c r="AH57" s="34">
        <v>44232</v>
      </c>
      <c r="AI57" s="30"/>
      <c r="AJ57" s="61">
        <f ca="1">IF(Table13[[#This Row],[RFC Remark]]="DONE",Table13[[#This Row],[RFC Date]]-Table13[[#This Row],[STIP Date]],$AJ$2-Table13[[#This Row],[STIP Date]])</f>
        <v>963</v>
      </c>
      <c r="AK57" s="2"/>
      <c r="AL57" s="2"/>
      <c r="AM57" s="2"/>
      <c r="AN57" s="2" t="s">
        <v>313</v>
      </c>
      <c r="AO57" s="2"/>
      <c r="AP57" s="44"/>
      <c r="AQ57" s="44"/>
      <c r="AR57" s="2"/>
    </row>
    <row r="58" spans="1:44" ht="15" hidden="1" customHeight="1">
      <c r="A58" s="23" t="s">
        <v>262</v>
      </c>
      <c r="B58" s="2" t="s">
        <v>361</v>
      </c>
      <c r="C58" s="2" t="s">
        <v>452</v>
      </c>
      <c r="D58" s="36" t="s">
        <v>680</v>
      </c>
      <c r="E58" s="2" t="s">
        <v>681</v>
      </c>
      <c r="F58" s="2" t="s">
        <v>10</v>
      </c>
      <c r="G58" s="2" t="s">
        <v>100</v>
      </c>
      <c r="H58" s="2" t="s">
        <v>54</v>
      </c>
      <c r="I58" s="2" t="s">
        <v>4</v>
      </c>
      <c r="J58" s="46">
        <f t="shared" si="2"/>
        <v>43871</v>
      </c>
      <c r="K58" s="2" t="s">
        <v>682</v>
      </c>
      <c r="L58" s="28">
        <v>43871</v>
      </c>
      <c r="M58" s="2" t="s">
        <v>683</v>
      </c>
      <c r="N58" s="2" t="s">
        <v>683</v>
      </c>
      <c r="O58" s="2"/>
      <c r="P58" s="2" t="s">
        <v>11</v>
      </c>
      <c r="Q58" s="2" t="s">
        <v>26</v>
      </c>
      <c r="R58" s="2" t="s">
        <v>13</v>
      </c>
      <c r="S58" s="61">
        <v>42</v>
      </c>
      <c r="T58" s="2"/>
      <c r="U58" s="2"/>
      <c r="V58" s="2"/>
      <c r="W58" s="2"/>
      <c r="X58" s="2"/>
      <c r="Y58" s="2" t="s">
        <v>633</v>
      </c>
      <c r="Z58" s="2"/>
      <c r="AA58" s="2"/>
      <c r="AB58" s="2"/>
      <c r="AC58" s="2"/>
      <c r="AD58" s="2"/>
      <c r="AE58" s="2"/>
      <c r="AF58" s="30">
        <v>44202</v>
      </c>
      <c r="AG58" s="34">
        <v>44202</v>
      </c>
      <c r="AH58" s="34">
        <v>44232</v>
      </c>
      <c r="AI58" s="30"/>
      <c r="AJ58" s="61">
        <f ca="1">IF(Table13[[#This Row],[RFC Remark]]="DONE",Table13[[#This Row],[RFC Date]]-Table13[[#This Row],[STIP Date]],$AJ$2-Table13[[#This Row],[STIP Date]])</f>
        <v>963</v>
      </c>
      <c r="AK58" s="2"/>
      <c r="AL58" s="2"/>
      <c r="AM58" s="2"/>
      <c r="AN58" s="2" t="s">
        <v>313</v>
      </c>
      <c r="AO58" s="2"/>
      <c r="AP58" s="44"/>
      <c r="AQ58" s="44"/>
      <c r="AR58" s="2"/>
    </row>
    <row r="59" spans="1:44" ht="15" hidden="1" customHeight="1">
      <c r="A59" s="24" t="s">
        <v>263</v>
      </c>
      <c r="B59" s="2" t="s">
        <v>362</v>
      </c>
      <c r="C59" s="2" t="s">
        <v>453</v>
      </c>
      <c r="D59" s="36" t="s">
        <v>684</v>
      </c>
      <c r="E59" s="2" t="s">
        <v>685</v>
      </c>
      <c r="F59" s="2" t="s">
        <v>10</v>
      </c>
      <c r="G59" s="2" t="s">
        <v>100</v>
      </c>
      <c r="H59" s="2" t="s">
        <v>54</v>
      </c>
      <c r="I59" s="2" t="s">
        <v>4</v>
      </c>
      <c r="J59" s="46">
        <f t="shared" si="2"/>
        <v>43871</v>
      </c>
      <c r="K59" s="2" t="s">
        <v>686</v>
      </c>
      <c r="L59" s="28">
        <v>43871</v>
      </c>
      <c r="M59" s="2" t="s">
        <v>687</v>
      </c>
      <c r="N59" s="2" t="s">
        <v>687</v>
      </c>
      <c r="O59" s="2"/>
      <c r="P59" s="2" t="s">
        <v>11</v>
      </c>
      <c r="Q59" s="2" t="s">
        <v>53</v>
      </c>
      <c r="R59" s="2" t="s">
        <v>13</v>
      </c>
      <c r="S59" s="61">
        <v>25</v>
      </c>
      <c r="T59" s="2"/>
      <c r="U59" s="2"/>
      <c r="V59" s="2"/>
      <c r="W59" s="2"/>
      <c r="X59" s="2"/>
      <c r="Y59" s="2" t="s">
        <v>524</v>
      </c>
      <c r="Z59" s="2"/>
      <c r="AA59" s="2"/>
      <c r="AB59" s="2"/>
      <c r="AC59" s="2"/>
      <c r="AD59" s="2"/>
      <c r="AE59" s="2"/>
      <c r="AF59" s="30">
        <v>44202</v>
      </c>
      <c r="AG59" s="34">
        <v>44202</v>
      </c>
      <c r="AH59" s="34">
        <v>44232</v>
      </c>
      <c r="AI59" s="30"/>
      <c r="AJ59" s="61">
        <f ca="1">IF(Table13[[#This Row],[RFC Remark]]="DONE",Table13[[#This Row],[RFC Date]]-Table13[[#This Row],[STIP Date]],$AJ$2-Table13[[#This Row],[STIP Date]])</f>
        <v>963</v>
      </c>
      <c r="AK59" s="2"/>
      <c r="AL59" s="2"/>
      <c r="AM59" s="2"/>
      <c r="AN59" s="2" t="s">
        <v>313</v>
      </c>
      <c r="AO59" s="2"/>
      <c r="AP59" s="44"/>
      <c r="AQ59" s="44"/>
      <c r="AR59" s="2"/>
    </row>
    <row r="60" spans="1:44" ht="15" hidden="1" customHeight="1">
      <c r="A60" s="23" t="s">
        <v>264</v>
      </c>
      <c r="B60" s="2" t="s">
        <v>363</v>
      </c>
      <c r="C60" s="2" t="s">
        <v>454</v>
      </c>
      <c r="D60" s="36" t="s">
        <v>688</v>
      </c>
      <c r="E60" s="2" t="s">
        <v>689</v>
      </c>
      <c r="F60" s="2" t="s">
        <v>10</v>
      </c>
      <c r="G60" s="2" t="s">
        <v>100</v>
      </c>
      <c r="H60" s="2" t="s">
        <v>54</v>
      </c>
      <c r="I60" s="2" t="s">
        <v>4</v>
      </c>
      <c r="J60" s="46">
        <f t="shared" si="2"/>
        <v>43871</v>
      </c>
      <c r="K60" s="2" t="s">
        <v>690</v>
      </c>
      <c r="L60" s="28">
        <v>43871</v>
      </c>
      <c r="M60" s="2" t="s">
        <v>691</v>
      </c>
      <c r="N60" s="2" t="s">
        <v>691</v>
      </c>
      <c r="O60" s="2"/>
      <c r="P60" s="2" t="s">
        <v>11</v>
      </c>
      <c r="Q60" s="2" t="s">
        <v>53</v>
      </c>
      <c r="R60" s="2" t="s">
        <v>13</v>
      </c>
      <c r="S60" s="61">
        <v>25</v>
      </c>
      <c r="T60" s="2"/>
      <c r="U60" s="2"/>
      <c r="V60" s="2"/>
      <c r="W60" s="2"/>
      <c r="X60" s="2"/>
      <c r="Y60" s="2" t="s">
        <v>524</v>
      </c>
      <c r="Z60" s="2"/>
      <c r="AA60" s="2"/>
      <c r="AB60" s="2"/>
      <c r="AC60" s="2"/>
      <c r="AD60" s="2"/>
      <c r="AE60" s="2"/>
      <c r="AF60" s="30">
        <v>44202</v>
      </c>
      <c r="AG60" s="34">
        <v>44202</v>
      </c>
      <c r="AH60" s="34">
        <v>44232</v>
      </c>
      <c r="AI60" s="30"/>
      <c r="AJ60" s="61">
        <f ca="1">IF(Table13[[#This Row],[RFC Remark]]="DONE",Table13[[#This Row],[RFC Date]]-Table13[[#This Row],[STIP Date]],$AJ$2-Table13[[#This Row],[STIP Date]])</f>
        <v>963</v>
      </c>
      <c r="AK60" s="2"/>
      <c r="AL60" s="2"/>
      <c r="AM60" s="2"/>
      <c r="AN60" s="2" t="s">
        <v>313</v>
      </c>
      <c r="AO60" s="2"/>
      <c r="AP60" s="44"/>
      <c r="AQ60" s="44"/>
      <c r="AR60" s="2"/>
    </row>
    <row r="61" spans="1:44" ht="15" hidden="1" customHeight="1">
      <c r="A61" s="24" t="s">
        <v>265</v>
      </c>
      <c r="B61" s="2" t="s">
        <v>364</v>
      </c>
      <c r="C61" s="2" t="s">
        <v>455</v>
      </c>
      <c r="D61" s="36" t="s">
        <v>692</v>
      </c>
      <c r="E61" s="2" t="s">
        <v>693</v>
      </c>
      <c r="F61" s="2" t="s">
        <v>10</v>
      </c>
      <c r="G61" s="2" t="s">
        <v>100</v>
      </c>
      <c r="H61" s="2" t="s">
        <v>54</v>
      </c>
      <c r="I61" s="2" t="s">
        <v>4</v>
      </c>
      <c r="J61" s="46">
        <f t="shared" si="2"/>
        <v>43871</v>
      </c>
      <c r="K61" s="2" t="s">
        <v>694</v>
      </c>
      <c r="L61" s="28">
        <v>43871</v>
      </c>
      <c r="M61" s="2" t="s">
        <v>695</v>
      </c>
      <c r="N61" s="2" t="s">
        <v>695</v>
      </c>
      <c r="O61" s="2"/>
      <c r="P61" s="2" t="s">
        <v>11</v>
      </c>
      <c r="Q61" s="2" t="s">
        <v>53</v>
      </c>
      <c r="R61" s="2" t="s">
        <v>13</v>
      </c>
      <c r="S61" s="61">
        <v>25</v>
      </c>
      <c r="T61" s="2"/>
      <c r="U61" s="2"/>
      <c r="V61" s="2"/>
      <c r="W61" s="2"/>
      <c r="X61" s="2"/>
      <c r="Y61" s="2" t="s">
        <v>524</v>
      </c>
      <c r="Z61" s="2"/>
      <c r="AA61" s="2"/>
      <c r="AB61" s="2"/>
      <c r="AC61" s="2"/>
      <c r="AD61" s="2"/>
      <c r="AE61" s="2"/>
      <c r="AF61" s="30">
        <v>44202</v>
      </c>
      <c r="AG61" s="34">
        <v>44202</v>
      </c>
      <c r="AH61" s="34">
        <v>44232</v>
      </c>
      <c r="AI61" s="30"/>
      <c r="AJ61" s="61">
        <f ca="1">IF(Table13[[#This Row],[RFC Remark]]="DONE",Table13[[#This Row],[RFC Date]]-Table13[[#This Row],[STIP Date]],$AJ$2-Table13[[#This Row],[STIP Date]])</f>
        <v>963</v>
      </c>
      <c r="AK61" s="2"/>
      <c r="AL61" s="2"/>
      <c r="AM61" s="2"/>
      <c r="AN61" s="2" t="s">
        <v>313</v>
      </c>
      <c r="AO61" s="2"/>
      <c r="AP61" s="44"/>
      <c r="AQ61" s="44"/>
      <c r="AR61" s="2"/>
    </row>
    <row r="62" spans="1:44" ht="15" hidden="1" customHeight="1">
      <c r="A62" s="23" t="s">
        <v>266</v>
      </c>
      <c r="B62" s="2" t="s">
        <v>365</v>
      </c>
      <c r="C62" s="2" t="s">
        <v>456</v>
      </c>
      <c r="D62" s="36" t="s">
        <v>696</v>
      </c>
      <c r="E62" s="2" t="s">
        <v>697</v>
      </c>
      <c r="F62" s="2" t="s">
        <v>10</v>
      </c>
      <c r="G62" s="2" t="s">
        <v>100</v>
      </c>
      <c r="H62" s="2" t="s">
        <v>54</v>
      </c>
      <c r="I62" s="2" t="s">
        <v>4</v>
      </c>
      <c r="J62" s="46">
        <f t="shared" si="2"/>
        <v>43871</v>
      </c>
      <c r="K62" s="2" t="s">
        <v>698</v>
      </c>
      <c r="L62" s="28">
        <v>43871</v>
      </c>
      <c r="M62" s="2" t="s">
        <v>699</v>
      </c>
      <c r="N62" s="2" t="s">
        <v>699</v>
      </c>
      <c r="O62" s="2"/>
      <c r="P62" s="2" t="s">
        <v>11</v>
      </c>
      <c r="Q62" s="2" t="s">
        <v>53</v>
      </c>
      <c r="R62" s="2" t="s">
        <v>13</v>
      </c>
      <c r="S62" s="61">
        <v>25</v>
      </c>
      <c r="T62" s="2"/>
      <c r="U62" s="2"/>
      <c r="V62" s="2"/>
      <c r="W62" s="2"/>
      <c r="X62" s="2"/>
      <c r="Y62" s="2" t="s">
        <v>524</v>
      </c>
      <c r="Z62" s="2"/>
      <c r="AA62" s="2"/>
      <c r="AB62" s="2"/>
      <c r="AC62" s="2"/>
      <c r="AD62" s="2"/>
      <c r="AE62" s="2"/>
      <c r="AF62" s="30">
        <v>44202</v>
      </c>
      <c r="AG62" s="34">
        <v>44202</v>
      </c>
      <c r="AH62" s="34">
        <v>44232</v>
      </c>
      <c r="AI62" s="30"/>
      <c r="AJ62" s="61">
        <f ca="1">IF(Table13[[#This Row],[RFC Remark]]="DONE",Table13[[#This Row],[RFC Date]]-Table13[[#This Row],[STIP Date]],$AJ$2-Table13[[#This Row],[STIP Date]])</f>
        <v>963</v>
      </c>
      <c r="AK62" s="2"/>
      <c r="AL62" s="2"/>
      <c r="AM62" s="2"/>
      <c r="AN62" s="2" t="s">
        <v>313</v>
      </c>
      <c r="AO62" s="2"/>
      <c r="AP62" s="44"/>
      <c r="AQ62" s="44"/>
      <c r="AR62" s="2"/>
    </row>
    <row r="63" spans="1:44" ht="15" hidden="1" customHeight="1">
      <c r="A63" s="6" t="s">
        <v>57</v>
      </c>
      <c r="B63" s="6" t="s">
        <v>143</v>
      </c>
      <c r="C63" s="13" t="s">
        <v>144</v>
      </c>
      <c r="D63" s="6" t="s">
        <v>58</v>
      </c>
      <c r="E63" s="6" t="s">
        <v>158</v>
      </c>
      <c r="F63" s="6" t="s">
        <v>10</v>
      </c>
      <c r="G63" s="4" t="s">
        <v>100</v>
      </c>
      <c r="H63" s="6" t="s">
        <v>54</v>
      </c>
      <c r="I63" s="6" t="s">
        <v>4</v>
      </c>
      <c r="J63" s="47">
        <v>2020</v>
      </c>
      <c r="K63" s="5" t="s">
        <v>700</v>
      </c>
      <c r="L63" s="7">
        <v>43872</v>
      </c>
      <c r="M63" s="5" t="s">
        <v>701</v>
      </c>
      <c r="N63" s="5" t="s">
        <v>702</v>
      </c>
      <c r="O63" s="5"/>
      <c r="P63" s="6" t="s">
        <v>11</v>
      </c>
      <c r="Q63" s="6" t="s">
        <v>19</v>
      </c>
      <c r="R63" s="6" t="s">
        <v>20</v>
      </c>
      <c r="S63" s="62">
        <v>42</v>
      </c>
      <c r="T63" s="5" t="s">
        <v>520</v>
      </c>
      <c r="U63" s="5"/>
      <c r="V63" s="5"/>
      <c r="W63" s="5"/>
      <c r="X63" s="5"/>
      <c r="Y63" s="5"/>
      <c r="Z63" s="5"/>
      <c r="AA63" s="5"/>
      <c r="AB63" s="5"/>
      <c r="AC63" s="5"/>
      <c r="AD63" s="5" t="s">
        <v>319</v>
      </c>
      <c r="AE63" s="5" t="s">
        <v>171</v>
      </c>
      <c r="AF63" s="31">
        <v>44202</v>
      </c>
      <c r="AG63" s="34">
        <v>44202</v>
      </c>
      <c r="AH63" s="34">
        <v>44232</v>
      </c>
      <c r="AI63" s="31"/>
      <c r="AJ63" s="22">
        <f ca="1">IF(Table13[[#This Row],[RFC Remark]]="DONE",Table13[[#This Row],[RFC Date]]-Table13[[#This Row],[STIP Date]],$AJ$2-Table13[[#This Row],[STIP Date]])</f>
        <v>962</v>
      </c>
      <c r="AK63" s="5"/>
      <c r="AL63" s="5"/>
      <c r="AM63" s="5"/>
      <c r="AN63" s="5" t="s">
        <v>313</v>
      </c>
      <c r="AO63" s="5" t="s">
        <v>172</v>
      </c>
      <c r="AP63" s="43"/>
      <c r="AQ63" s="43"/>
      <c r="AR63" s="5"/>
    </row>
    <row r="64" spans="1:44" ht="15" hidden="1" customHeight="1">
      <c r="A64" s="23" t="s">
        <v>267</v>
      </c>
      <c r="B64" s="2" t="s">
        <v>366</v>
      </c>
      <c r="C64" s="2" t="s">
        <v>457</v>
      </c>
      <c r="D64" s="36" t="s">
        <v>703</v>
      </c>
      <c r="E64" s="2" t="s">
        <v>704</v>
      </c>
      <c r="F64" s="2" t="s">
        <v>10</v>
      </c>
      <c r="G64" s="2" t="s">
        <v>100</v>
      </c>
      <c r="H64" s="2" t="s">
        <v>54</v>
      </c>
      <c r="I64" s="2" t="s">
        <v>4</v>
      </c>
      <c r="J64" s="46">
        <f t="shared" ref="J64:J87" si="3">L64</f>
        <v>43872</v>
      </c>
      <c r="K64" s="2" t="s">
        <v>705</v>
      </c>
      <c r="L64" s="28">
        <v>43872</v>
      </c>
      <c r="M64" s="2" t="s">
        <v>706</v>
      </c>
      <c r="N64" s="2" t="s">
        <v>706</v>
      </c>
      <c r="O64" s="2"/>
      <c r="P64" s="2" t="s">
        <v>11</v>
      </c>
      <c r="Q64" s="2" t="s">
        <v>26</v>
      </c>
      <c r="R64" s="2" t="s">
        <v>13</v>
      </c>
      <c r="S64" s="61">
        <v>42</v>
      </c>
      <c r="T64" s="2"/>
      <c r="U64" s="2"/>
      <c r="V64" s="2"/>
      <c r="W64" s="2"/>
      <c r="X64" s="2"/>
      <c r="Y64" s="2" t="s">
        <v>633</v>
      </c>
      <c r="Z64" s="2"/>
      <c r="AA64" s="2"/>
      <c r="AB64" s="2"/>
      <c r="AC64" s="2"/>
      <c r="AD64" s="2"/>
      <c r="AE64" s="2"/>
      <c r="AF64" s="30">
        <v>44202</v>
      </c>
      <c r="AG64" s="34">
        <v>44202</v>
      </c>
      <c r="AH64" s="34">
        <v>44232</v>
      </c>
      <c r="AI64" s="30"/>
      <c r="AJ64" s="61">
        <f ca="1">IF(Table13[[#This Row],[RFC Remark]]="DONE",Table13[[#This Row],[RFC Date]]-Table13[[#This Row],[STIP Date]],$AJ$2-Table13[[#This Row],[STIP Date]])</f>
        <v>962</v>
      </c>
      <c r="AK64" s="2"/>
      <c r="AL64" s="2"/>
      <c r="AM64" s="2"/>
      <c r="AN64" s="2" t="s">
        <v>313</v>
      </c>
      <c r="AO64" s="2"/>
      <c r="AP64" s="44"/>
      <c r="AQ64" s="44"/>
      <c r="AR64" s="2"/>
    </row>
    <row r="65" spans="1:44" ht="15" hidden="1" customHeight="1">
      <c r="A65" s="24" t="s">
        <v>268</v>
      </c>
      <c r="B65" s="2" t="s">
        <v>367</v>
      </c>
      <c r="C65" s="2" t="s">
        <v>458</v>
      </c>
      <c r="D65" s="36" t="s">
        <v>707</v>
      </c>
      <c r="E65" s="2" t="s">
        <v>708</v>
      </c>
      <c r="F65" s="2" t="s">
        <v>10</v>
      </c>
      <c r="G65" s="2" t="s">
        <v>100</v>
      </c>
      <c r="H65" s="2" t="s">
        <v>54</v>
      </c>
      <c r="I65" s="2" t="s">
        <v>4</v>
      </c>
      <c r="J65" s="46">
        <f t="shared" si="3"/>
        <v>43872</v>
      </c>
      <c r="K65" s="2" t="s">
        <v>709</v>
      </c>
      <c r="L65" s="28">
        <v>43872</v>
      </c>
      <c r="M65" s="2" t="s">
        <v>710</v>
      </c>
      <c r="N65" s="2" t="s">
        <v>710</v>
      </c>
      <c r="O65" s="2"/>
      <c r="P65" s="2" t="s">
        <v>5</v>
      </c>
      <c r="Q65" s="2" t="s">
        <v>497</v>
      </c>
      <c r="R65" s="2" t="s">
        <v>13</v>
      </c>
      <c r="S65" s="61">
        <v>42</v>
      </c>
      <c r="T65" s="2"/>
      <c r="U65" s="2"/>
      <c r="V65" s="2"/>
      <c r="W65" s="2"/>
      <c r="X65" s="2"/>
      <c r="Y65" s="2" t="s">
        <v>633</v>
      </c>
      <c r="Z65" s="2"/>
      <c r="AA65" s="2"/>
      <c r="AB65" s="2"/>
      <c r="AC65" s="2"/>
      <c r="AD65" s="2"/>
      <c r="AE65" s="2"/>
      <c r="AF65" s="30">
        <v>44202</v>
      </c>
      <c r="AG65" s="34">
        <v>44202</v>
      </c>
      <c r="AH65" s="34">
        <v>44232</v>
      </c>
      <c r="AI65" s="30"/>
      <c r="AJ65" s="61">
        <f ca="1">IF(Table13[[#This Row],[RFC Remark]]="DONE",Table13[[#This Row],[RFC Date]]-Table13[[#This Row],[STIP Date]],$AJ$2-Table13[[#This Row],[STIP Date]])</f>
        <v>962</v>
      </c>
      <c r="AK65" s="2"/>
      <c r="AL65" s="2"/>
      <c r="AM65" s="2"/>
      <c r="AN65" s="2" t="s">
        <v>313</v>
      </c>
      <c r="AO65" s="2"/>
      <c r="AP65" s="44"/>
      <c r="AQ65" s="44"/>
      <c r="AR65" s="2"/>
    </row>
    <row r="66" spans="1:44" ht="15" hidden="1" customHeight="1">
      <c r="A66" s="23" t="s">
        <v>269</v>
      </c>
      <c r="B66" s="2" t="s">
        <v>368</v>
      </c>
      <c r="C66" s="2" t="s">
        <v>459</v>
      </c>
      <c r="D66" s="36" t="s">
        <v>711</v>
      </c>
      <c r="E66" s="2" t="s">
        <v>712</v>
      </c>
      <c r="F66" s="2" t="s">
        <v>10</v>
      </c>
      <c r="G66" s="2" t="s">
        <v>100</v>
      </c>
      <c r="H66" s="2" t="s">
        <v>54</v>
      </c>
      <c r="I66" s="2" t="s">
        <v>4</v>
      </c>
      <c r="J66" s="46">
        <f t="shared" si="3"/>
        <v>43872</v>
      </c>
      <c r="K66" s="2" t="s">
        <v>713</v>
      </c>
      <c r="L66" s="28">
        <v>43872</v>
      </c>
      <c r="M66" s="2" t="s">
        <v>714</v>
      </c>
      <c r="N66" s="2" t="s">
        <v>714</v>
      </c>
      <c r="O66" s="2"/>
      <c r="P66" s="2" t="s">
        <v>11</v>
      </c>
      <c r="Q66" s="2" t="s">
        <v>26</v>
      </c>
      <c r="R66" s="2" t="s">
        <v>13</v>
      </c>
      <c r="S66" s="61">
        <v>42</v>
      </c>
      <c r="T66" s="2"/>
      <c r="U66" s="2"/>
      <c r="V66" s="2"/>
      <c r="W66" s="2"/>
      <c r="X66" s="2"/>
      <c r="Y66" s="2" t="s">
        <v>633</v>
      </c>
      <c r="Z66" s="2"/>
      <c r="AA66" s="2"/>
      <c r="AB66" s="2"/>
      <c r="AC66" s="2"/>
      <c r="AD66" s="2"/>
      <c r="AE66" s="2"/>
      <c r="AF66" s="30">
        <v>44202</v>
      </c>
      <c r="AG66" s="34">
        <v>44202</v>
      </c>
      <c r="AH66" s="34">
        <v>44232</v>
      </c>
      <c r="AI66" s="30"/>
      <c r="AJ66" s="61">
        <f ca="1">IF(Table13[[#This Row],[RFC Remark]]="DONE",Table13[[#This Row],[RFC Date]]-Table13[[#This Row],[STIP Date]],$AJ$2-Table13[[#This Row],[STIP Date]])</f>
        <v>962</v>
      </c>
      <c r="AK66" s="2"/>
      <c r="AL66" s="2"/>
      <c r="AM66" s="2"/>
      <c r="AN66" s="2" t="s">
        <v>313</v>
      </c>
      <c r="AO66" s="2"/>
      <c r="AP66" s="44"/>
      <c r="AQ66" s="44"/>
      <c r="AR66" s="2"/>
    </row>
    <row r="67" spans="1:44" ht="15" hidden="1" customHeight="1">
      <c r="A67" s="24" t="s">
        <v>270</v>
      </c>
      <c r="B67" s="2" t="s">
        <v>369</v>
      </c>
      <c r="C67" s="2" t="s">
        <v>460</v>
      </c>
      <c r="D67" s="36" t="s">
        <v>715</v>
      </c>
      <c r="E67" s="2" t="s">
        <v>716</v>
      </c>
      <c r="F67" s="2" t="s">
        <v>10</v>
      </c>
      <c r="G67" s="2" t="s">
        <v>100</v>
      </c>
      <c r="H67" s="2" t="s">
        <v>54</v>
      </c>
      <c r="I67" s="2" t="s">
        <v>4</v>
      </c>
      <c r="J67" s="46">
        <f t="shared" si="3"/>
        <v>43872</v>
      </c>
      <c r="K67" s="2" t="s">
        <v>717</v>
      </c>
      <c r="L67" s="28">
        <v>43872</v>
      </c>
      <c r="M67" s="2" t="s">
        <v>718</v>
      </c>
      <c r="N67" s="2" t="s">
        <v>718</v>
      </c>
      <c r="O67" s="2"/>
      <c r="P67" s="2" t="s">
        <v>11</v>
      </c>
      <c r="Q67" s="2" t="s">
        <v>638</v>
      </c>
      <c r="R67" s="2" t="s">
        <v>13</v>
      </c>
      <c r="S67" s="61">
        <v>42</v>
      </c>
      <c r="T67" s="2"/>
      <c r="U67" s="2"/>
      <c r="V67" s="2"/>
      <c r="W67" s="2"/>
      <c r="X67" s="2"/>
      <c r="Y67" s="2" t="s">
        <v>633</v>
      </c>
      <c r="Z67" s="2"/>
      <c r="AA67" s="2"/>
      <c r="AB67" s="2"/>
      <c r="AC67" s="2"/>
      <c r="AD67" s="2"/>
      <c r="AE67" s="2"/>
      <c r="AF67" s="30">
        <v>44202</v>
      </c>
      <c r="AG67" s="34">
        <v>44202</v>
      </c>
      <c r="AH67" s="34">
        <v>44232</v>
      </c>
      <c r="AI67" s="30"/>
      <c r="AJ67" s="61">
        <f ca="1">IF(Table13[[#This Row],[RFC Remark]]="DONE",Table13[[#This Row],[RFC Date]]-Table13[[#This Row],[STIP Date]],$AJ$2-Table13[[#This Row],[STIP Date]])</f>
        <v>962</v>
      </c>
      <c r="AK67" s="2"/>
      <c r="AL67" s="2"/>
      <c r="AM67" s="2"/>
      <c r="AN67" s="2" t="s">
        <v>313</v>
      </c>
      <c r="AO67" s="2"/>
      <c r="AP67" s="44"/>
      <c r="AQ67" s="44"/>
      <c r="AR67" s="2"/>
    </row>
    <row r="68" spans="1:44" ht="15" hidden="1" customHeight="1">
      <c r="A68" s="23" t="s">
        <v>271</v>
      </c>
      <c r="B68" s="2" t="s">
        <v>370</v>
      </c>
      <c r="C68" s="2" t="s">
        <v>461</v>
      </c>
      <c r="D68" s="36" t="s">
        <v>719</v>
      </c>
      <c r="E68" s="2" t="s">
        <v>720</v>
      </c>
      <c r="F68" s="2" t="s">
        <v>10</v>
      </c>
      <c r="G68" s="2" t="s">
        <v>100</v>
      </c>
      <c r="H68" s="2" t="s">
        <v>54</v>
      </c>
      <c r="I68" s="2" t="s">
        <v>4</v>
      </c>
      <c r="J68" s="46">
        <f t="shared" si="3"/>
        <v>43872</v>
      </c>
      <c r="K68" s="2" t="s">
        <v>721</v>
      </c>
      <c r="L68" s="28">
        <v>43872</v>
      </c>
      <c r="M68" s="2" t="s">
        <v>722</v>
      </c>
      <c r="N68" s="2" t="s">
        <v>722</v>
      </c>
      <c r="O68" s="2"/>
      <c r="P68" s="2" t="s">
        <v>11</v>
      </c>
      <c r="Q68" s="2" t="s">
        <v>26</v>
      </c>
      <c r="R68" s="2" t="s">
        <v>13</v>
      </c>
      <c r="S68" s="61">
        <v>42</v>
      </c>
      <c r="T68" s="2"/>
      <c r="U68" s="2"/>
      <c r="V68" s="2"/>
      <c r="W68" s="2"/>
      <c r="X68" s="2"/>
      <c r="Y68" s="2" t="s">
        <v>633</v>
      </c>
      <c r="Z68" s="2"/>
      <c r="AA68" s="2"/>
      <c r="AB68" s="2"/>
      <c r="AC68" s="2"/>
      <c r="AD68" s="2"/>
      <c r="AE68" s="2"/>
      <c r="AF68" s="30">
        <v>44202</v>
      </c>
      <c r="AG68" s="34">
        <v>44202</v>
      </c>
      <c r="AH68" s="34">
        <v>44232</v>
      </c>
      <c r="AI68" s="30"/>
      <c r="AJ68" s="61">
        <f ca="1">IF(Table13[[#This Row],[RFC Remark]]="DONE",Table13[[#This Row],[RFC Date]]-Table13[[#This Row],[STIP Date]],$AJ$2-Table13[[#This Row],[STIP Date]])</f>
        <v>962</v>
      </c>
      <c r="AK68" s="2"/>
      <c r="AL68" s="2"/>
      <c r="AM68" s="2"/>
      <c r="AN68" s="2" t="s">
        <v>313</v>
      </c>
      <c r="AO68" s="2"/>
      <c r="AP68" s="44"/>
      <c r="AQ68" s="44"/>
      <c r="AR68" s="2"/>
    </row>
    <row r="69" spans="1:44" ht="15" hidden="1" customHeight="1">
      <c r="A69" s="24" t="s">
        <v>272</v>
      </c>
      <c r="B69" s="2" t="s">
        <v>371</v>
      </c>
      <c r="C69" s="2" t="s">
        <v>462</v>
      </c>
      <c r="D69" s="36" t="s">
        <v>723</v>
      </c>
      <c r="E69" s="2" t="s">
        <v>724</v>
      </c>
      <c r="F69" s="2" t="s">
        <v>10</v>
      </c>
      <c r="G69" s="2" t="s">
        <v>100</v>
      </c>
      <c r="H69" s="2" t="s">
        <v>54</v>
      </c>
      <c r="I69" s="2" t="s">
        <v>4</v>
      </c>
      <c r="J69" s="46">
        <f t="shared" si="3"/>
        <v>43872</v>
      </c>
      <c r="K69" s="2" t="s">
        <v>725</v>
      </c>
      <c r="L69" s="28">
        <v>43872</v>
      </c>
      <c r="M69" s="2" t="s">
        <v>726</v>
      </c>
      <c r="N69" s="2" t="s">
        <v>726</v>
      </c>
      <c r="O69" s="2"/>
      <c r="P69" s="2" t="s">
        <v>11</v>
      </c>
      <c r="Q69" s="2" t="s">
        <v>26</v>
      </c>
      <c r="R69" s="2" t="s">
        <v>13</v>
      </c>
      <c r="S69" s="61">
        <v>42</v>
      </c>
      <c r="T69" s="2"/>
      <c r="U69" s="2"/>
      <c r="V69" s="2"/>
      <c r="W69" s="2"/>
      <c r="X69" s="2"/>
      <c r="Y69" s="2" t="s">
        <v>633</v>
      </c>
      <c r="Z69" s="2"/>
      <c r="AA69" s="2"/>
      <c r="AB69" s="2"/>
      <c r="AC69" s="2"/>
      <c r="AD69" s="2"/>
      <c r="AE69" s="2"/>
      <c r="AF69" s="30">
        <v>44202</v>
      </c>
      <c r="AG69" s="34">
        <v>44202</v>
      </c>
      <c r="AH69" s="34">
        <v>44232</v>
      </c>
      <c r="AI69" s="30"/>
      <c r="AJ69" s="61">
        <f ca="1">IF(Table13[[#This Row],[RFC Remark]]="DONE",Table13[[#This Row],[RFC Date]]-Table13[[#This Row],[STIP Date]],$AJ$2-Table13[[#This Row],[STIP Date]])</f>
        <v>962</v>
      </c>
      <c r="AK69" s="2"/>
      <c r="AL69" s="2"/>
      <c r="AM69" s="2"/>
      <c r="AN69" s="2" t="s">
        <v>313</v>
      </c>
      <c r="AO69" s="2"/>
      <c r="AP69" s="44"/>
      <c r="AQ69" s="44"/>
      <c r="AR69" s="2"/>
    </row>
    <row r="70" spans="1:44" ht="15" hidden="1" customHeight="1">
      <c r="A70" s="23" t="s">
        <v>273</v>
      </c>
      <c r="B70" s="2" t="s">
        <v>372</v>
      </c>
      <c r="C70" s="2" t="s">
        <v>463</v>
      </c>
      <c r="D70" s="36" t="s">
        <v>727</v>
      </c>
      <c r="E70" s="2" t="s">
        <v>728</v>
      </c>
      <c r="F70" s="2" t="s">
        <v>10</v>
      </c>
      <c r="G70" s="2" t="s">
        <v>100</v>
      </c>
      <c r="H70" s="2" t="s">
        <v>54</v>
      </c>
      <c r="I70" s="2" t="s">
        <v>4</v>
      </c>
      <c r="J70" s="46">
        <f t="shared" si="3"/>
        <v>43872</v>
      </c>
      <c r="K70" s="2" t="s">
        <v>729</v>
      </c>
      <c r="L70" s="28">
        <v>43872</v>
      </c>
      <c r="M70" s="2" t="s">
        <v>730</v>
      </c>
      <c r="N70" s="2" t="s">
        <v>730</v>
      </c>
      <c r="O70" s="2"/>
      <c r="P70" s="2" t="s">
        <v>11</v>
      </c>
      <c r="Q70" s="2" t="s">
        <v>638</v>
      </c>
      <c r="R70" s="2" t="s">
        <v>13</v>
      </c>
      <c r="S70" s="61">
        <v>42</v>
      </c>
      <c r="T70" s="2"/>
      <c r="U70" s="2"/>
      <c r="V70" s="2"/>
      <c r="W70" s="2"/>
      <c r="X70" s="2"/>
      <c r="Y70" s="2" t="s">
        <v>633</v>
      </c>
      <c r="Z70" s="2"/>
      <c r="AA70" s="2"/>
      <c r="AB70" s="2"/>
      <c r="AC70" s="2"/>
      <c r="AD70" s="2"/>
      <c r="AE70" s="2"/>
      <c r="AF70" s="30">
        <v>44202</v>
      </c>
      <c r="AG70" s="34">
        <v>44202</v>
      </c>
      <c r="AH70" s="34">
        <v>44232</v>
      </c>
      <c r="AI70" s="30"/>
      <c r="AJ70" s="61">
        <f ca="1">IF(Table13[[#This Row],[RFC Remark]]="DONE",Table13[[#This Row],[RFC Date]]-Table13[[#This Row],[STIP Date]],$AJ$2-Table13[[#This Row],[STIP Date]])</f>
        <v>962</v>
      </c>
      <c r="AK70" s="2"/>
      <c r="AL70" s="2"/>
      <c r="AM70" s="2"/>
      <c r="AN70" s="2" t="s">
        <v>313</v>
      </c>
      <c r="AO70" s="2"/>
      <c r="AP70" s="44"/>
      <c r="AQ70" s="44"/>
      <c r="AR70" s="2"/>
    </row>
    <row r="71" spans="1:44" ht="15" hidden="1" customHeight="1">
      <c r="A71" s="24" t="s">
        <v>274</v>
      </c>
      <c r="B71" s="2" t="s">
        <v>373</v>
      </c>
      <c r="C71" s="2" t="s">
        <v>464</v>
      </c>
      <c r="D71" s="36" t="s">
        <v>731</v>
      </c>
      <c r="E71" s="2" t="s">
        <v>732</v>
      </c>
      <c r="F71" s="2" t="s">
        <v>10</v>
      </c>
      <c r="G71" s="2" t="s">
        <v>100</v>
      </c>
      <c r="H71" s="2" t="s">
        <v>54</v>
      </c>
      <c r="I71" s="2" t="s">
        <v>4</v>
      </c>
      <c r="J71" s="46">
        <f t="shared" si="3"/>
        <v>43872</v>
      </c>
      <c r="K71" s="2" t="s">
        <v>733</v>
      </c>
      <c r="L71" s="28">
        <v>43872</v>
      </c>
      <c r="M71" s="2" t="s">
        <v>734</v>
      </c>
      <c r="N71" s="2" t="s">
        <v>734</v>
      </c>
      <c r="O71" s="2"/>
      <c r="P71" s="2" t="s">
        <v>11</v>
      </c>
      <c r="Q71" s="2" t="s">
        <v>638</v>
      </c>
      <c r="R71" s="2" t="s">
        <v>13</v>
      </c>
      <c r="S71" s="61">
        <v>42</v>
      </c>
      <c r="T71" s="2"/>
      <c r="U71" s="2"/>
      <c r="V71" s="2"/>
      <c r="W71" s="2"/>
      <c r="X71" s="2"/>
      <c r="Y71" s="2" t="s">
        <v>633</v>
      </c>
      <c r="Z71" s="2"/>
      <c r="AA71" s="2"/>
      <c r="AB71" s="2"/>
      <c r="AC71" s="2"/>
      <c r="AD71" s="2"/>
      <c r="AE71" s="2"/>
      <c r="AF71" s="30">
        <v>44202</v>
      </c>
      <c r="AG71" s="34">
        <v>44202</v>
      </c>
      <c r="AH71" s="34">
        <v>44232</v>
      </c>
      <c r="AI71" s="30"/>
      <c r="AJ71" s="61">
        <f ca="1">IF(Table13[[#This Row],[RFC Remark]]="DONE",Table13[[#This Row],[RFC Date]]-Table13[[#This Row],[STIP Date]],$AJ$2-Table13[[#This Row],[STIP Date]])</f>
        <v>962</v>
      </c>
      <c r="AK71" s="2"/>
      <c r="AL71" s="2"/>
      <c r="AM71" s="2"/>
      <c r="AN71" s="2" t="s">
        <v>313</v>
      </c>
      <c r="AO71" s="2"/>
      <c r="AP71" s="44"/>
      <c r="AQ71" s="44"/>
      <c r="AR71" s="2"/>
    </row>
    <row r="72" spans="1:44" ht="15" hidden="1" customHeight="1">
      <c r="A72" s="23" t="s">
        <v>275</v>
      </c>
      <c r="B72" s="2" t="s">
        <v>374</v>
      </c>
      <c r="C72" s="2" t="s">
        <v>465</v>
      </c>
      <c r="D72" s="36" t="s">
        <v>735</v>
      </c>
      <c r="E72" s="2" t="s">
        <v>736</v>
      </c>
      <c r="F72" s="2" t="s">
        <v>10</v>
      </c>
      <c r="G72" s="2" t="s">
        <v>100</v>
      </c>
      <c r="H72" s="2" t="s">
        <v>54</v>
      </c>
      <c r="I72" s="2" t="s">
        <v>4</v>
      </c>
      <c r="J72" s="46">
        <f t="shared" si="3"/>
        <v>43872</v>
      </c>
      <c r="K72" s="2" t="s">
        <v>737</v>
      </c>
      <c r="L72" s="28">
        <v>43872</v>
      </c>
      <c r="M72" s="2" t="s">
        <v>738</v>
      </c>
      <c r="N72" s="2" t="s">
        <v>738</v>
      </c>
      <c r="O72" s="2"/>
      <c r="P72" s="2" t="s">
        <v>11</v>
      </c>
      <c r="Q72" s="2" t="s">
        <v>26</v>
      </c>
      <c r="R72" s="2" t="s">
        <v>13</v>
      </c>
      <c r="S72" s="61">
        <v>42</v>
      </c>
      <c r="T72" s="2"/>
      <c r="U72" s="2"/>
      <c r="V72" s="2"/>
      <c r="W72" s="2"/>
      <c r="X72" s="2"/>
      <c r="Y72" s="2" t="s">
        <v>633</v>
      </c>
      <c r="Z72" s="2"/>
      <c r="AA72" s="2"/>
      <c r="AB72" s="2"/>
      <c r="AC72" s="2"/>
      <c r="AD72" s="2"/>
      <c r="AE72" s="2"/>
      <c r="AF72" s="30">
        <v>44202</v>
      </c>
      <c r="AG72" s="34">
        <v>44202</v>
      </c>
      <c r="AH72" s="34">
        <v>44232</v>
      </c>
      <c r="AI72" s="30"/>
      <c r="AJ72" s="61">
        <f ca="1">IF(Table13[[#This Row],[RFC Remark]]="DONE",Table13[[#This Row],[RFC Date]]-Table13[[#This Row],[STIP Date]],$AJ$2-Table13[[#This Row],[STIP Date]])</f>
        <v>962</v>
      </c>
      <c r="AK72" s="2"/>
      <c r="AL72" s="2"/>
      <c r="AM72" s="2"/>
      <c r="AN72" s="2" t="s">
        <v>313</v>
      </c>
      <c r="AO72" s="2"/>
      <c r="AP72" s="44"/>
      <c r="AQ72" s="44"/>
      <c r="AR72" s="2"/>
    </row>
    <row r="73" spans="1:44" ht="15" hidden="1" customHeight="1">
      <c r="A73" s="24" t="s">
        <v>276</v>
      </c>
      <c r="B73" s="2" t="s">
        <v>375</v>
      </c>
      <c r="C73" s="2" t="s">
        <v>466</v>
      </c>
      <c r="D73" s="36" t="s">
        <v>739</v>
      </c>
      <c r="E73" s="2" t="s">
        <v>740</v>
      </c>
      <c r="F73" s="2" t="s">
        <v>10</v>
      </c>
      <c r="G73" s="2" t="s">
        <v>100</v>
      </c>
      <c r="H73" s="2" t="s">
        <v>54</v>
      </c>
      <c r="I73" s="2" t="s">
        <v>4</v>
      </c>
      <c r="J73" s="46">
        <f t="shared" si="3"/>
        <v>43872</v>
      </c>
      <c r="K73" s="2" t="s">
        <v>741</v>
      </c>
      <c r="L73" s="28">
        <v>43872</v>
      </c>
      <c r="M73" s="2" t="s">
        <v>742</v>
      </c>
      <c r="N73" s="2" t="s">
        <v>742</v>
      </c>
      <c r="O73" s="2"/>
      <c r="P73" s="2" t="s">
        <v>11</v>
      </c>
      <c r="Q73" s="2" t="s">
        <v>638</v>
      </c>
      <c r="R73" s="2" t="s">
        <v>13</v>
      </c>
      <c r="S73" s="61">
        <v>42</v>
      </c>
      <c r="T73" s="2"/>
      <c r="U73" s="2"/>
      <c r="V73" s="2"/>
      <c r="W73" s="2"/>
      <c r="X73" s="2"/>
      <c r="Y73" s="2" t="s">
        <v>633</v>
      </c>
      <c r="Z73" s="2"/>
      <c r="AA73" s="2"/>
      <c r="AB73" s="2"/>
      <c r="AC73" s="2"/>
      <c r="AD73" s="2"/>
      <c r="AE73" s="2"/>
      <c r="AF73" s="30">
        <v>44202</v>
      </c>
      <c r="AG73" s="34">
        <v>44202</v>
      </c>
      <c r="AH73" s="34">
        <v>44232</v>
      </c>
      <c r="AI73" s="30"/>
      <c r="AJ73" s="61">
        <f ca="1">IF(Table13[[#This Row],[RFC Remark]]="DONE",Table13[[#This Row],[RFC Date]]-Table13[[#This Row],[STIP Date]],$AJ$2-Table13[[#This Row],[STIP Date]])</f>
        <v>962</v>
      </c>
      <c r="AK73" s="2"/>
      <c r="AL73" s="2"/>
      <c r="AM73" s="2"/>
      <c r="AN73" s="2" t="s">
        <v>313</v>
      </c>
      <c r="AO73" s="2"/>
      <c r="AP73" s="44"/>
      <c r="AQ73" s="44"/>
      <c r="AR73" s="2"/>
    </row>
    <row r="74" spans="1:44" ht="15" hidden="1" customHeight="1">
      <c r="A74" s="23" t="s">
        <v>277</v>
      </c>
      <c r="B74" s="2" t="s">
        <v>376</v>
      </c>
      <c r="C74" s="2" t="s">
        <v>467</v>
      </c>
      <c r="D74" s="36" t="s">
        <v>743</v>
      </c>
      <c r="E74" s="2" t="s">
        <v>744</v>
      </c>
      <c r="F74" s="2" t="s">
        <v>10</v>
      </c>
      <c r="G74" s="2" t="s">
        <v>100</v>
      </c>
      <c r="H74" s="2" t="s">
        <v>54</v>
      </c>
      <c r="I74" s="2" t="s">
        <v>4</v>
      </c>
      <c r="J74" s="46">
        <f t="shared" si="3"/>
        <v>43872</v>
      </c>
      <c r="K74" s="2" t="s">
        <v>745</v>
      </c>
      <c r="L74" s="28">
        <v>43872</v>
      </c>
      <c r="M74" s="2" t="s">
        <v>746</v>
      </c>
      <c r="N74" s="2" t="s">
        <v>746</v>
      </c>
      <c r="O74" s="2"/>
      <c r="P74" s="2" t="s">
        <v>11</v>
      </c>
      <c r="Q74" s="2" t="s">
        <v>638</v>
      </c>
      <c r="R74" s="2" t="s">
        <v>13</v>
      </c>
      <c r="S74" s="61">
        <v>42</v>
      </c>
      <c r="T74" s="2"/>
      <c r="U74" s="2"/>
      <c r="V74" s="2"/>
      <c r="W74" s="2"/>
      <c r="X74" s="2"/>
      <c r="Y74" s="2" t="s">
        <v>633</v>
      </c>
      <c r="Z74" s="2"/>
      <c r="AA74" s="2"/>
      <c r="AB74" s="2"/>
      <c r="AC74" s="2"/>
      <c r="AD74" s="2"/>
      <c r="AE74" s="2"/>
      <c r="AF74" s="30">
        <v>44202</v>
      </c>
      <c r="AG74" s="34">
        <v>44202</v>
      </c>
      <c r="AH74" s="34">
        <v>44232</v>
      </c>
      <c r="AI74" s="30"/>
      <c r="AJ74" s="61">
        <f ca="1">IF(Table13[[#This Row],[RFC Remark]]="DONE",Table13[[#This Row],[RFC Date]]-Table13[[#This Row],[STIP Date]],$AJ$2-Table13[[#This Row],[STIP Date]])</f>
        <v>962</v>
      </c>
      <c r="AK74" s="2"/>
      <c r="AL74" s="2"/>
      <c r="AM74" s="2"/>
      <c r="AN74" s="2" t="s">
        <v>313</v>
      </c>
      <c r="AO74" s="2"/>
      <c r="AP74" s="44"/>
      <c r="AQ74" s="44"/>
      <c r="AR74" s="2"/>
    </row>
    <row r="75" spans="1:44" ht="15" hidden="1" customHeight="1">
      <c r="A75" s="24" t="s">
        <v>278</v>
      </c>
      <c r="B75" s="2" t="s">
        <v>377</v>
      </c>
      <c r="C75" s="2" t="s">
        <v>468</v>
      </c>
      <c r="D75" s="36" t="s">
        <v>747</v>
      </c>
      <c r="E75" s="2" t="s">
        <v>748</v>
      </c>
      <c r="F75" s="2" t="s">
        <v>10</v>
      </c>
      <c r="G75" s="2" t="s">
        <v>100</v>
      </c>
      <c r="H75" s="2" t="s">
        <v>54</v>
      </c>
      <c r="I75" s="2" t="s">
        <v>4</v>
      </c>
      <c r="J75" s="46">
        <f t="shared" si="3"/>
        <v>43872</v>
      </c>
      <c r="K75" s="2" t="s">
        <v>749</v>
      </c>
      <c r="L75" s="28">
        <v>43872</v>
      </c>
      <c r="M75" s="2" t="s">
        <v>750</v>
      </c>
      <c r="N75" s="2" t="s">
        <v>750</v>
      </c>
      <c r="O75" s="2"/>
      <c r="P75" s="2" t="s">
        <v>5</v>
      </c>
      <c r="Q75" s="2" t="s">
        <v>497</v>
      </c>
      <c r="R75" s="2" t="s">
        <v>13</v>
      </c>
      <c r="S75" s="61">
        <v>42</v>
      </c>
      <c r="T75" s="2"/>
      <c r="U75" s="2"/>
      <c r="V75" s="2"/>
      <c r="W75" s="2"/>
      <c r="X75" s="2"/>
      <c r="Y75" s="2" t="s">
        <v>633</v>
      </c>
      <c r="Z75" s="2"/>
      <c r="AA75" s="2"/>
      <c r="AB75" s="2"/>
      <c r="AC75" s="2"/>
      <c r="AD75" s="2"/>
      <c r="AE75" s="2"/>
      <c r="AF75" s="30">
        <v>44202</v>
      </c>
      <c r="AG75" s="34">
        <v>44202</v>
      </c>
      <c r="AH75" s="34">
        <v>44232</v>
      </c>
      <c r="AI75" s="30"/>
      <c r="AJ75" s="61">
        <f ca="1">IF(Table13[[#This Row],[RFC Remark]]="DONE",Table13[[#This Row],[RFC Date]]-Table13[[#This Row],[STIP Date]],$AJ$2-Table13[[#This Row],[STIP Date]])</f>
        <v>962</v>
      </c>
      <c r="AK75" s="2"/>
      <c r="AL75" s="2"/>
      <c r="AM75" s="2"/>
      <c r="AN75" s="2" t="s">
        <v>313</v>
      </c>
      <c r="AO75" s="2"/>
      <c r="AP75" s="44"/>
      <c r="AQ75" s="44"/>
      <c r="AR75" s="2"/>
    </row>
    <row r="76" spans="1:44" ht="15" hidden="1" customHeight="1">
      <c r="A76" s="23" t="s">
        <v>279</v>
      </c>
      <c r="B76" s="2" t="s">
        <v>378</v>
      </c>
      <c r="C76" s="2" t="s">
        <v>469</v>
      </c>
      <c r="D76" s="36" t="s">
        <v>751</v>
      </c>
      <c r="E76" s="2" t="s">
        <v>752</v>
      </c>
      <c r="F76" s="2" t="s">
        <v>10</v>
      </c>
      <c r="G76" s="2" t="s">
        <v>100</v>
      </c>
      <c r="H76" s="2" t="s">
        <v>54</v>
      </c>
      <c r="I76" s="2" t="s">
        <v>4</v>
      </c>
      <c r="J76" s="46">
        <f t="shared" si="3"/>
        <v>43872</v>
      </c>
      <c r="K76" s="2" t="s">
        <v>753</v>
      </c>
      <c r="L76" s="28">
        <v>43872</v>
      </c>
      <c r="M76" s="2" t="s">
        <v>754</v>
      </c>
      <c r="N76" s="2" t="s">
        <v>754</v>
      </c>
      <c r="O76" s="2"/>
      <c r="P76" s="2" t="s">
        <v>11</v>
      </c>
      <c r="Q76" s="2" t="s">
        <v>19</v>
      </c>
      <c r="R76" s="2" t="s">
        <v>20</v>
      </c>
      <c r="S76" s="61">
        <v>42</v>
      </c>
      <c r="T76" s="2"/>
      <c r="U76" s="2"/>
      <c r="V76" s="2"/>
      <c r="W76" s="2"/>
      <c r="X76" s="2"/>
      <c r="Y76" s="2" t="s">
        <v>633</v>
      </c>
      <c r="Z76" s="2"/>
      <c r="AA76" s="2"/>
      <c r="AB76" s="2"/>
      <c r="AC76" s="2"/>
      <c r="AD76" s="2"/>
      <c r="AE76" s="2"/>
      <c r="AF76" s="30">
        <v>44202</v>
      </c>
      <c r="AG76" s="34">
        <v>44202</v>
      </c>
      <c r="AH76" s="34">
        <v>44232</v>
      </c>
      <c r="AI76" s="30"/>
      <c r="AJ76" s="61">
        <f ca="1">IF(Table13[[#This Row],[RFC Remark]]="DONE",Table13[[#This Row],[RFC Date]]-Table13[[#This Row],[STIP Date]],$AJ$2-Table13[[#This Row],[STIP Date]])</f>
        <v>962</v>
      </c>
      <c r="AK76" s="2"/>
      <c r="AL76" s="2"/>
      <c r="AM76" s="2"/>
      <c r="AN76" s="2" t="s">
        <v>313</v>
      </c>
      <c r="AO76" s="2"/>
      <c r="AP76" s="44"/>
      <c r="AQ76" s="44"/>
      <c r="AR76" s="2"/>
    </row>
    <row r="77" spans="1:44" ht="15" hidden="1" customHeight="1">
      <c r="A77" s="24" t="s">
        <v>280</v>
      </c>
      <c r="B77" s="2" t="s">
        <v>379</v>
      </c>
      <c r="C77" s="2" t="s">
        <v>470</v>
      </c>
      <c r="D77" s="36" t="s">
        <v>755</v>
      </c>
      <c r="E77" s="2" t="s">
        <v>756</v>
      </c>
      <c r="F77" s="2" t="s">
        <v>10</v>
      </c>
      <c r="G77" s="2" t="s">
        <v>100</v>
      </c>
      <c r="H77" s="2" t="s">
        <v>54</v>
      </c>
      <c r="I77" s="2" t="s">
        <v>4</v>
      </c>
      <c r="J77" s="46">
        <f t="shared" si="3"/>
        <v>43872</v>
      </c>
      <c r="K77" s="2" t="s">
        <v>757</v>
      </c>
      <c r="L77" s="28">
        <v>43872</v>
      </c>
      <c r="M77" s="2" t="s">
        <v>758</v>
      </c>
      <c r="N77" s="2" t="s">
        <v>758</v>
      </c>
      <c r="O77" s="2"/>
      <c r="P77" s="2" t="s">
        <v>11</v>
      </c>
      <c r="Q77" s="2" t="s">
        <v>638</v>
      </c>
      <c r="R77" s="2" t="s">
        <v>13</v>
      </c>
      <c r="S77" s="61">
        <v>42</v>
      </c>
      <c r="T77" s="2"/>
      <c r="U77" s="2"/>
      <c r="V77" s="2"/>
      <c r="W77" s="2"/>
      <c r="X77" s="2"/>
      <c r="Y77" s="2" t="s">
        <v>633</v>
      </c>
      <c r="Z77" s="2"/>
      <c r="AA77" s="2"/>
      <c r="AB77" s="2"/>
      <c r="AC77" s="2"/>
      <c r="AD77" s="2"/>
      <c r="AE77" s="2"/>
      <c r="AF77" s="30">
        <v>44202</v>
      </c>
      <c r="AG77" s="34">
        <v>44202</v>
      </c>
      <c r="AH77" s="34">
        <v>44232</v>
      </c>
      <c r="AI77" s="30"/>
      <c r="AJ77" s="61">
        <f ca="1">IF(Table13[[#This Row],[RFC Remark]]="DONE",Table13[[#This Row],[RFC Date]]-Table13[[#This Row],[STIP Date]],$AJ$2-Table13[[#This Row],[STIP Date]])</f>
        <v>962</v>
      </c>
      <c r="AK77" s="2"/>
      <c r="AL77" s="2"/>
      <c r="AM77" s="2"/>
      <c r="AN77" s="2" t="s">
        <v>313</v>
      </c>
      <c r="AO77" s="2"/>
      <c r="AP77" s="44"/>
      <c r="AQ77" s="44"/>
      <c r="AR77" s="2"/>
    </row>
    <row r="78" spans="1:44" ht="15" hidden="1" customHeight="1">
      <c r="A78" s="23" t="s">
        <v>281</v>
      </c>
      <c r="B78" s="2" t="s">
        <v>380</v>
      </c>
      <c r="C78" s="2" t="s">
        <v>471</v>
      </c>
      <c r="D78" s="36" t="s">
        <v>759</v>
      </c>
      <c r="E78" s="2" t="s">
        <v>760</v>
      </c>
      <c r="F78" s="2" t="s">
        <v>10</v>
      </c>
      <c r="G78" s="2" t="s">
        <v>100</v>
      </c>
      <c r="H78" s="2" t="s">
        <v>54</v>
      </c>
      <c r="I78" s="2" t="s">
        <v>4</v>
      </c>
      <c r="J78" s="46">
        <f t="shared" si="3"/>
        <v>43872</v>
      </c>
      <c r="K78" s="2" t="s">
        <v>761</v>
      </c>
      <c r="L78" s="28">
        <v>43872</v>
      </c>
      <c r="M78" s="2" t="s">
        <v>762</v>
      </c>
      <c r="N78" s="2" t="s">
        <v>762</v>
      </c>
      <c r="O78" s="2"/>
      <c r="P78" s="2" t="s">
        <v>11</v>
      </c>
      <c r="Q78" s="2" t="s">
        <v>763</v>
      </c>
      <c r="R78" s="2" t="s">
        <v>13</v>
      </c>
      <c r="S78" s="61">
        <v>42</v>
      </c>
      <c r="T78" s="2"/>
      <c r="U78" s="2"/>
      <c r="V78" s="2"/>
      <c r="W78" s="2"/>
      <c r="X78" s="2"/>
      <c r="Y78" s="2" t="s">
        <v>633</v>
      </c>
      <c r="Z78" s="2"/>
      <c r="AA78" s="2"/>
      <c r="AB78" s="2"/>
      <c r="AC78" s="2"/>
      <c r="AD78" s="2"/>
      <c r="AE78" s="2"/>
      <c r="AF78" s="30">
        <v>44202</v>
      </c>
      <c r="AG78" s="34">
        <v>44202</v>
      </c>
      <c r="AH78" s="34">
        <v>44232</v>
      </c>
      <c r="AI78" s="30"/>
      <c r="AJ78" s="61">
        <f ca="1">IF(Table13[[#This Row],[RFC Remark]]="DONE",Table13[[#This Row],[RFC Date]]-Table13[[#This Row],[STIP Date]],$AJ$2-Table13[[#This Row],[STIP Date]])</f>
        <v>962</v>
      </c>
      <c r="AK78" s="2"/>
      <c r="AL78" s="2"/>
      <c r="AM78" s="2"/>
      <c r="AN78" s="2" t="s">
        <v>313</v>
      </c>
      <c r="AO78" s="2"/>
      <c r="AP78" s="44"/>
      <c r="AQ78" s="44"/>
      <c r="AR78" s="2"/>
    </row>
    <row r="79" spans="1:44" ht="15" hidden="1" customHeight="1">
      <c r="A79" s="24" t="s">
        <v>282</v>
      </c>
      <c r="B79" s="2" t="s">
        <v>381</v>
      </c>
      <c r="C79" s="2" t="s">
        <v>472</v>
      </c>
      <c r="D79" s="36" t="s">
        <v>764</v>
      </c>
      <c r="E79" s="2" t="s">
        <v>765</v>
      </c>
      <c r="F79" s="2" t="s">
        <v>10</v>
      </c>
      <c r="G79" s="2" t="s">
        <v>100</v>
      </c>
      <c r="H79" s="2" t="s">
        <v>54</v>
      </c>
      <c r="I79" s="2" t="s">
        <v>4</v>
      </c>
      <c r="J79" s="46">
        <f t="shared" si="3"/>
        <v>43872</v>
      </c>
      <c r="K79" s="2" t="s">
        <v>766</v>
      </c>
      <c r="L79" s="28">
        <v>43872</v>
      </c>
      <c r="M79" s="2" t="s">
        <v>767</v>
      </c>
      <c r="N79" s="2" t="s">
        <v>767</v>
      </c>
      <c r="O79" s="2"/>
      <c r="P79" s="2" t="s">
        <v>11</v>
      </c>
      <c r="Q79" s="2" t="s">
        <v>763</v>
      </c>
      <c r="R79" s="2" t="s">
        <v>13</v>
      </c>
      <c r="S79" s="61">
        <v>42</v>
      </c>
      <c r="T79" s="2"/>
      <c r="U79" s="2"/>
      <c r="V79" s="2"/>
      <c r="W79" s="2"/>
      <c r="X79" s="2"/>
      <c r="Y79" s="2" t="s">
        <v>633</v>
      </c>
      <c r="Z79" s="2"/>
      <c r="AA79" s="2"/>
      <c r="AB79" s="2"/>
      <c r="AC79" s="2"/>
      <c r="AD79" s="2"/>
      <c r="AE79" s="2"/>
      <c r="AF79" s="30">
        <v>44202</v>
      </c>
      <c r="AG79" s="34">
        <v>44202</v>
      </c>
      <c r="AH79" s="34">
        <v>44232</v>
      </c>
      <c r="AI79" s="30"/>
      <c r="AJ79" s="61">
        <f ca="1">IF(Table13[[#This Row],[RFC Remark]]="DONE",Table13[[#This Row],[RFC Date]]-Table13[[#This Row],[STIP Date]],$AJ$2-Table13[[#This Row],[STIP Date]])</f>
        <v>962</v>
      </c>
      <c r="AK79" s="2"/>
      <c r="AL79" s="2"/>
      <c r="AM79" s="2"/>
      <c r="AN79" s="2" t="s">
        <v>313</v>
      </c>
      <c r="AO79" s="2"/>
      <c r="AP79" s="44"/>
      <c r="AQ79" s="44"/>
      <c r="AR79" s="2"/>
    </row>
    <row r="80" spans="1:44" ht="15" hidden="1" customHeight="1">
      <c r="A80" s="24" t="s">
        <v>283</v>
      </c>
      <c r="B80" s="2" t="s">
        <v>382</v>
      </c>
      <c r="C80" s="2" t="s">
        <v>473</v>
      </c>
      <c r="D80" s="36" t="s">
        <v>768</v>
      </c>
      <c r="E80" s="2" t="s">
        <v>769</v>
      </c>
      <c r="F80" s="2" t="s">
        <v>10</v>
      </c>
      <c r="G80" s="2" t="s">
        <v>100</v>
      </c>
      <c r="H80" s="2" t="s">
        <v>54</v>
      </c>
      <c r="I80" s="2" t="s">
        <v>4</v>
      </c>
      <c r="J80" s="46">
        <f t="shared" si="3"/>
        <v>43872</v>
      </c>
      <c r="K80" s="2" t="s">
        <v>770</v>
      </c>
      <c r="L80" s="28">
        <v>43872</v>
      </c>
      <c r="M80" s="2" t="s">
        <v>771</v>
      </c>
      <c r="N80" s="2" t="s">
        <v>771</v>
      </c>
      <c r="O80" s="2"/>
      <c r="P80" s="2" t="s">
        <v>11</v>
      </c>
      <c r="Q80" s="2" t="s">
        <v>772</v>
      </c>
      <c r="R80" s="2" t="s">
        <v>20</v>
      </c>
      <c r="S80" s="61">
        <v>42</v>
      </c>
      <c r="T80" s="2"/>
      <c r="U80" s="2"/>
      <c r="V80" s="2"/>
      <c r="W80" s="2"/>
      <c r="X80" s="2"/>
      <c r="Y80" s="2" t="s">
        <v>633</v>
      </c>
      <c r="Z80" s="2"/>
      <c r="AA80" s="2"/>
      <c r="AB80" s="2"/>
      <c r="AC80" s="2"/>
      <c r="AD80" s="2"/>
      <c r="AE80" s="2"/>
      <c r="AF80" s="30">
        <v>44202</v>
      </c>
      <c r="AG80" s="34">
        <v>44202</v>
      </c>
      <c r="AH80" s="34">
        <v>44232</v>
      </c>
      <c r="AI80" s="30"/>
      <c r="AJ80" s="61">
        <f ca="1">IF(Table13[[#This Row],[RFC Remark]]="DONE",Table13[[#This Row],[RFC Date]]-Table13[[#This Row],[STIP Date]],$AJ$2-Table13[[#This Row],[STIP Date]])</f>
        <v>962</v>
      </c>
      <c r="AK80" s="2"/>
      <c r="AL80" s="2"/>
      <c r="AM80" s="2"/>
      <c r="AN80" s="2" t="s">
        <v>313</v>
      </c>
      <c r="AO80" s="2"/>
      <c r="AP80" s="44"/>
      <c r="AQ80" s="44"/>
      <c r="AR80" s="2"/>
    </row>
    <row r="81" spans="1:44" ht="15" hidden="1" customHeight="1">
      <c r="A81" s="23" t="s">
        <v>284</v>
      </c>
      <c r="B81" s="2" t="s">
        <v>383</v>
      </c>
      <c r="C81" s="2" t="s">
        <v>474</v>
      </c>
      <c r="D81" s="36" t="s">
        <v>773</v>
      </c>
      <c r="E81" s="2" t="s">
        <v>774</v>
      </c>
      <c r="F81" s="2" t="s">
        <v>10</v>
      </c>
      <c r="G81" s="2" t="s">
        <v>100</v>
      </c>
      <c r="H81" s="2" t="s">
        <v>54</v>
      </c>
      <c r="I81" s="2" t="s">
        <v>4</v>
      </c>
      <c r="J81" s="46">
        <f t="shared" si="3"/>
        <v>43872</v>
      </c>
      <c r="K81" s="2" t="s">
        <v>775</v>
      </c>
      <c r="L81" s="28">
        <v>43872</v>
      </c>
      <c r="M81" s="2" t="s">
        <v>776</v>
      </c>
      <c r="N81" s="2" t="s">
        <v>776</v>
      </c>
      <c r="O81" s="2"/>
      <c r="P81" s="2" t="s">
        <v>11</v>
      </c>
      <c r="Q81" s="2" t="s">
        <v>772</v>
      </c>
      <c r="R81" s="2" t="s">
        <v>20</v>
      </c>
      <c r="S81" s="61">
        <v>42</v>
      </c>
      <c r="T81" s="2"/>
      <c r="U81" s="2"/>
      <c r="V81" s="2"/>
      <c r="W81" s="2"/>
      <c r="X81" s="2"/>
      <c r="Y81" s="2" t="s">
        <v>633</v>
      </c>
      <c r="Z81" s="2"/>
      <c r="AA81" s="2"/>
      <c r="AB81" s="2"/>
      <c r="AC81" s="2"/>
      <c r="AD81" s="2"/>
      <c r="AE81" s="2"/>
      <c r="AF81" s="30">
        <v>44202</v>
      </c>
      <c r="AG81" s="34">
        <v>44202</v>
      </c>
      <c r="AH81" s="34">
        <v>44232</v>
      </c>
      <c r="AI81" s="30"/>
      <c r="AJ81" s="61">
        <f ca="1">IF(Table13[[#This Row],[RFC Remark]]="DONE",Table13[[#This Row],[RFC Date]]-Table13[[#This Row],[STIP Date]],$AJ$2-Table13[[#This Row],[STIP Date]])</f>
        <v>962</v>
      </c>
      <c r="AK81" s="2"/>
      <c r="AL81" s="2"/>
      <c r="AM81" s="2"/>
      <c r="AN81" s="2" t="s">
        <v>313</v>
      </c>
      <c r="AO81" s="2"/>
      <c r="AP81" s="44"/>
      <c r="AQ81" s="44"/>
      <c r="AR81" s="2"/>
    </row>
    <row r="82" spans="1:44" ht="15" hidden="1" customHeight="1">
      <c r="A82" s="24" t="s">
        <v>285</v>
      </c>
      <c r="B82" s="2" t="s">
        <v>384</v>
      </c>
      <c r="C82" s="2" t="s">
        <v>475</v>
      </c>
      <c r="D82" s="36" t="s">
        <v>777</v>
      </c>
      <c r="E82" s="2" t="s">
        <v>778</v>
      </c>
      <c r="F82" s="2" t="s">
        <v>2</v>
      </c>
      <c r="G82" s="2" t="s">
        <v>100</v>
      </c>
      <c r="H82" s="2" t="s">
        <v>54</v>
      </c>
      <c r="I82" s="2" t="s">
        <v>4</v>
      </c>
      <c r="J82" s="46">
        <f t="shared" si="3"/>
        <v>43872</v>
      </c>
      <c r="K82" s="2" t="s">
        <v>779</v>
      </c>
      <c r="L82" s="28">
        <v>43872</v>
      </c>
      <c r="M82" s="2" t="s">
        <v>780</v>
      </c>
      <c r="N82" s="2" t="s">
        <v>780</v>
      </c>
      <c r="O82" s="2"/>
      <c r="P82" s="2" t="s">
        <v>11</v>
      </c>
      <c r="Q82" s="2" t="s">
        <v>53</v>
      </c>
      <c r="R82" s="2" t="s">
        <v>13</v>
      </c>
      <c r="S82" s="61">
        <v>20</v>
      </c>
      <c r="T82" s="2"/>
      <c r="U82" s="2"/>
      <c r="V82" s="2"/>
      <c r="W82" s="2"/>
      <c r="X82" s="2"/>
      <c r="Y82" s="2" t="s">
        <v>510</v>
      </c>
      <c r="Z82" s="2"/>
      <c r="AA82" s="2"/>
      <c r="AB82" s="2"/>
      <c r="AC82" s="2"/>
      <c r="AD82" s="2"/>
      <c r="AE82" s="2"/>
      <c r="AF82" s="30">
        <v>44202</v>
      </c>
      <c r="AG82" s="34">
        <v>44202</v>
      </c>
      <c r="AH82" s="34">
        <v>44232</v>
      </c>
      <c r="AI82" s="30"/>
      <c r="AJ82" s="61">
        <f ca="1">IF(Table13[[#This Row],[RFC Remark]]="DONE",Table13[[#This Row],[RFC Date]]-Table13[[#This Row],[STIP Date]],$AJ$2-Table13[[#This Row],[STIP Date]])</f>
        <v>962</v>
      </c>
      <c r="AK82" s="2"/>
      <c r="AL82" s="2"/>
      <c r="AM82" s="2"/>
      <c r="AN82" s="2" t="s">
        <v>313</v>
      </c>
      <c r="AO82" s="2"/>
      <c r="AP82" s="44"/>
      <c r="AQ82" s="44"/>
      <c r="AR82" s="2"/>
    </row>
    <row r="83" spans="1:44" ht="15" hidden="1" customHeight="1">
      <c r="A83" s="24" t="s">
        <v>286</v>
      </c>
      <c r="B83" s="2" t="s">
        <v>385</v>
      </c>
      <c r="C83" s="2" t="s">
        <v>476</v>
      </c>
      <c r="D83" s="36" t="s">
        <v>781</v>
      </c>
      <c r="E83" s="2" t="s">
        <v>781</v>
      </c>
      <c r="F83" s="2" t="s">
        <v>2</v>
      </c>
      <c r="G83" s="2" t="s">
        <v>100</v>
      </c>
      <c r="H83" s="2" t="s">
        <v>54</v>
      </c>
      <c r="I83" s="2" t="s">
        <v>4</v>
      </c>
      <c r="J83" s="46">
        <f t="shared" si="3"/>
        <v>43878</v>
      </c>
      <c r="K83" s="2" t="s">
        <v>782</v>
      </c>
      <c r="L83" s="28">
        <v>43878</v>
      </c>
      <c r="M83" s="2" t="s">
        <v>783</v>
      </c>
      <c r="N83" s="2" t="s">
        <v>783</v>
      </c>
      <c r="O83" s="2"/>
      <c r="P83" s="2" t="s">
        <v>5</v>
      </c>
      <c r="Q83" s="2" t="s">
        <v>21</v>
      </c>
      <c r="R83" s="2" t="s">
        <v>20</v>
      </c>
      <c r="S83" s="61">
        <v>20</v>
      </c>
      <c r="T83" s="2"/>
      <c r="U83" s="2"/>
      <c r="V83" s="2"/>
      <c r="W83" s="2"/>
      <c r="X83" s="2"/>
      <c r="Y83" s="2" t="s">
        <v>510</v>
      </c>
      <c r="Z83" s="2"/>
      <c r="AA83" s="2"/>
      <c r="AB83" s="2"/>
      <c r="AC83" s="2"/>
      <c r="AD83" s="2"/>
      <c r="AE83" s="2"/>
      <c r="AF83" s="30">
        <v>44202</v>
      </c>
      <c r="AG83" s="34">
        <v>44202</v>
      </c>
      <c r="AH83" s="34">
        <v>44232</v>
      </c>
      <c r="AI83" s="30"/>
      <c r="AJ83" s="61">
        <f ca="1">IF(Table13[[#This Row],[RFC Remark]]="DONE",Table13[[#This Row],[RFC Date]]-Table13[[#This Row],[STIP Date]],$AJ$2-Table13[[#This Row],[STIP Date]])</f>
        <v>956</v>
      </c>
      <c r="AK83" s="2"/>
      <c r="AL83" s="2"/>
      <c r="AM83" s="2"/>
      <c r="AN83" s="2" t="s">
        <v>313</v>
      </c>
      <c r="AO83" s="2"/>
      <c r="AP83" s="44"/>
      <c r="AQ83" s="44"/>
      <c r="AR83" s="2"/>
    </row>
    <row r="84" spans="1:44" ht="15" hidden="1" customHeight="1">
      <c r="A84" s="23" t="s">
        <v>287</v>
      </c>
      <c r="B84" s="2" t="s">
        <v>386</v>
      </c>
      <c r="C84" s="2" t="s">
        <v>477</v>
      </c>
      <c r="D84" s="36" t="s">
        <v>784</v>
      </c>
      <c r="E84" s="2" t="s">
        <v>784</v>
      </c>
      <c r="F84" s="2" t="s">
        <v>2</v>
      </c>
      <c r="G84" s="2" t="s">
        <v>100</v>
      </c>
      <c r="H84" s="2" t="s">
        <v>54</v>
      </c>
      <c r="I84" s="2" t="s">
        <v>4</v>
      </c>
      <c r="J84" s="46">
        <f t="shared" si="3"/>
        <v>43878</v>
      </c>
      <c r="K84" s="2" t="s">
        <v>785</v>
      </c>
      <c r="L84" s="28">
        <v>43878</v>
      </c>
      <c r="M84" s="2" t="s">
        <v>786</v>
      </c>
      <c r="N84" s="2" t="s">
        <v>786</v>
      </c>
      <c r="O84" s="2"/>
      <c r="P84" s="2" t="s">
        <v>5</v>
      </c>
      <c r="Q84" s="2" t="s">
        <v>6</v>
      </c>
      <c r="R84" s="2" t="s">
        <v>7</v>
      </c>
      <c r="S84" s="61">
        <v>20</v>
      </c>
      <c r="T84" s="2"/>
      <c r="U84" s="2"/>
      <c r="V84" s="2"/>
      <c r="W84" s="2"/>
      <c r="X84" s="2"/>
      <c r="Y84" s="2" t="s">
        <v>510</v>
      </c>
      <c r="Z84" s="2"/>
      <c r="AA84" s="2"/>
      <c r="AB84" s="2"/>
      <c r="AC84" s="2"/>
      <c r="AD84" s="2"/>
      <c r="AE84" s="2"/>
      <c r="AF84" s="30">
        <v>44202</v>
      </c>
      <c r="AG84" s="34">
        <v>44202</v>
      </c>
      <c r="AH84" s="34">
        <v>44232</v>
      </c>
      <c r="AI84" s="30"/>
      <c r="AJ84" s="61">
        <f ca="1">IF(Table13[[#This Row],[RFC Remark]]="DONE",Table13[[#This Row],[RFC Date]]-Table13[[#This Row],[STIP Date]],$AJ$2-Table13[[#This Row],[STIP Date]])</f>
        <v>956</v>
      </c>
      <c r="AK84" s="2"/>
      <c r="AL84" s="2"/>
      <c r="AM84" s="2"/>
      <c r="AN84" s="2" t="s">
        <v>313</v>
      </c>
      <c r="AO84" s="2"/>
      <c r="AP84" s="44"/>
      <c r="AQ84" s="44"/>
      <c r="AR84" s="2"/>
    </row>
    <row r="85" spans="1:44" ht="15" hidden="1" customHeight="1">
      <c r="A85" s="24" t="s">
        <v>288</v>
      </c>
      <c r="B85" s="2" t="s">
        <v>387</v>
      </c>
      <c r="C85" s="2" t="s">
        <v>478</v>
      </c>
      <c r="D85" s="36" t="s">
        <v>787</v>
      </c>
      <c r="E85" s="2" t="s">
        <v>787</v>
      </c>
      <c r="F85" s="2" t="s">
        <v>2</v>
      </c>
      <c r="G85" s="2" t="s">
        <v>100</v>
      </c>
      <c r="H85" s="2" t="s">
        <v>54</v>
      </c>
      <c r="I85" s="2" t="s">
        <v>4</v>
      </c>
      <c r="J85" s="46">
        <f t="shared" si="3"/>
        <v>43878</v>
      </c>
      <c r="K85" s="2" t="s">
        <v>788</v>
      </c>
      <c r="L85" s="28">
        <v>43878</v>
      </c>
      <c r="M85" s="2" t="s">
        <v>789</v>
      </c>
      <c r="N85" s="2" t="s">
        <v>789</v>
      </c>
      <c r="O85" s="2"/>
      <c r="P85" s="2" t="s">
        <v>11</v>
      </c>
      <c r="Q85" s="2" t="s">
        <v>29</v>
      </c>
      <c r="R85" s="2" t="s">
        <v>20</v>
      </c>
      <c r="S85" s="61">
        <v>20</v>
      </c>
      <c r="T85" s="2"/>
      <c r="U85" s="2"/>
      <c r="V85" s="2"/>
      <c r="W85" s="2"/>
      <c r="X85" s="2"/>
      <c r="Y85" s="2" t="s">
        <v>510</v>
      </c>
      <c r="Z85" s="2"/>
      <c r="AA85" s="2"/>
      <c r="AB85" s="2"/>
      <c r="AC85" s="2"/>
      <c r="AD85" s="2"/>
      <c r="AE85" s="2"/>
      <c r="AF85" s="30">
        <v>44202</v>
      </c>
      <c r="AG85" s="34">
        <v>44202</v>
      </c>
      <c r="AH85" s="34">
        <v>44232</v>
      </c>
      <c r="AI85" s="30"/>
      <c r="AJ85" s="61">
        <f ca="1">IF(Table13[[#This Row],[RFC Remark]]="DONE",Table13[[#This Row],[RFC Date]]-Table13[[#This Row],[STIP Date]],$AJ$2-Table13[[#This Row],[STIP Date]])</f>
        <v>956</v>
      </c>
      <c r="AK85" s="2"/>
      <c r="AL85" s="2"/>
      <c r="AM85" s="2"/>
      <c r="AN85" s="2" t="s">
        <v>313</v>
      </c>
      <c r="AO85" s="2"/>
      <c r="AP85" s="44"/>
      <c r="AQ85" s="44"/>
      <c r="AR85" s="2"/>
    </row>
    <row r="86" spans="1:44" ht="15" hidden="1" customHeight="1">
      <c r="A86" s="23" t="s">
        <v>289</v>
      </c>
      <c r="B86" s="2" t="s">
        <v>388</v>
      </c>
      <c r="C86" s="2" t="s">
        <v>479</v>
      </c>
      <c r="D86" s="36" t="s">
        <v>790</v>
      </c>
      <c r="E86" s="2" t="s">
        <v>790</v>
      </c>
      <c r="F86" s="2" t="s">
        <v>2</v>
      </c>
      <c r="G86" s="2" t="s">
        <v>100</v>
      </c>
      <c r="H86" s="2" t="s">
        <v>54</v>
      </c>
      <c r="I86" s="2" t="s">
        <v>4</v>
      </c>
      <c r="J86" s="46">
        <f t="shared" si="3"/>
        <v>43878</v>
      </c>
      <c r="K86" s="2" t="s">
        <v>791</v>
      </c>
      <c r="L86" s="28">
        <v>43878</v>
      </c>
      <c r="M86" s="2" t="s">
        <v>792</v>
      </c>
      <c r="N86" s="2" t="s">
        <v>792</v>
      </c>
      <c r="O86" s="2"/>
      <c r="P86" s="2" t="s">
        <v>11</v>
      </c>
      <c r="Q86" s="2" t="s">
        <v>29</v>
      </c>
      <c r="R86" s="2" t="s">
        <v>20</v>
      </c>
      <c r="S86" s="61">
        <v>20</v>
      </c>
      <c r="T86" s="2"/>
      <c r="U86" s="2"/>
      <c r="V86" s="2"/>
      <c r="W86" s="2"/>
      <c r="X86" s="2"/>
      <c r="Y86" s="2" t="s">
        <v>510</v>
      </c>
      <c r="Z86" s="2"/>
      <c r="AA86" s="2"/>
      <c r="AB86" s="2"/>
      <c r="AC86" s="2"/>
      <c r="AD86" s="2"/>
      <c r="AE86" s="2"/>
      <c r="AF86" s="30">
        <v>44202</v>
      </c>
      <c r="AG86" s="34">
        <v>44202</v>
      </c>
      <c r="AH86" s="34">
        <v>44232</v>
      </c>
      <c r="AI86" s="30"/>
      <c r="AJ86" s="61">
        <f ca="1">IF(Table13[[#This Row],[RFC Remark]]="DONE",Table13[[#This Row],[RFC Date]]-Table13[[#This Row],[STIP Date]],$AJ$2-Table13[[#This Row],[STIP Date]])</f>
        <v>956</v>
      </c>
      <c r="AK86" s="2"/>
      <c r="AL86" s="2"/>
      <c r="AM86" s="2"/>
      <c r="AN86" s="2" t="s">
        <v>313</v>
      </c>
      <c r="AO86" s="2"/>
      <c r="AP86" s="44"/>
      <c r="AQ86" s="44"/>
      <c r="AR86" s="2"/>
    </row>
    <row r="87" spans="1:44" ht="15" hidden="1" customHeight="1">
      <c r="A87" s="24" t="s">
        <v>290</v>
      </c>
      <c r="B87" s="2" t="s">
        <v>389</v>
      </c>
      <c r="C87" s="2" t="s">
        <v>480</v>
      </c>
      <c r="D87" s="36" t="s">
        <v>793</v>
      </c>
      <c r="E87" s="2" t="s">
        <v>793</v>
      </c>
      <c r="F87" s="2" t="s">
        <v>2</v>
      </c>
      <c r="G87" s="2" t="s">
        <v>100</v>
      </c>
      <c r="H87" s="2" t="s">
        <v>54</v>
      </c>
      <c r="I87" s="2" t="s">
        <v>4</v>
      </c>
      <c r="J87" s="46">
        <f t="shared" si="3"/>
        <v>43878</v>
      </c>
      <c r="K87" s="2" t="s">
        <v>794</v>
      </c>
      <c r="L87" s="28">
        <v>43878</v>
      </c>
      <c r="M87" s="2" t="s">
        <v>795</v>
      </c>
      <c r="N87" s="2" t="s">
        <v>795</v>
      </c>
      <c r="O87" s="2"/>
      <c r="P87" s="2" t="s">
        <v>11</v>
      </c>
      <c r="Q87" s="2" t="s">
        <v>29</v>
      </c>
      <c r="R87" s="2" t="s">
        <v>20</v>
      </c>
      <c r="S87" s="61">
        <v>20</v>
      </c>
      <c r="T87" s="2"/>
      <c r="U87" s="2"/>
      <c r="V87" s="2"/>
      <c r="W87" s="2"/>
      <c r="X87" s="2"/>
      <c r="Y87" s="2" t="s">
        <v>510</v>
      </c>
      <c r="Z87" s="2"/>
      <c r="AA87" s="2"/>
      <c r="AB87" s="2"/>
      <c r="AC87" s="2"/>
      <c r="AD87" s="2"/>
      <c r="AE87" s="2"/>
      <c r="AF87" s="30">
        <v>44202</v>
      </c>
      <c r="AG87" s="34">
        <v>44202</v>
      </c>
      <c r="AH87" s="34">
        <v>44232</v>
      </c>
      <c r="AI87" s="30"/>
      <c r="AJ87" s="61">
        <f ca="1">IF(Table13[[#This Row],[RFC Remark]]="DONE",Table13[[#This Row],[RFC Date]]-Table13[[#This Row],[STIP Date]],$AJ$2-Table13[[#This Row],[STIP Date]])</f>
        <v>956</v>
      </c>
      <c r="AK87" s="2"/>
      <c r="AL87" s="2"/>
      <c r="AM87" s="2"/>
      <c r="AN87" s="2" t="s">
        <v>313</v>
      </c>
      <c r="AO87" s="2"/>
      <c r="AP87" s="44"/>
      <c r="AQ87" s="44"/>
      <c r="AR87" s="2"/>
    </row>
    <row r="88" spans="1:44" ht="15" hidden="1" customHeight="1">
      <c r="A88" s="6" t="s">
        <v>42</v>
      </c>
      <c r="B88" s="6" t="s">
        <v>125</v>
      </c>
      <c r="C88" s="13" t="s">
        <v>126</v>
      </c>
      <c r="D88" s="6" t="s">
        <v>43</v>
      </c>
      <c r="E88" s="6" t="s">
        <v>155</v>
      </c>
      <c r="F88" s="6" t="s">
        <v>10</v>
      </c>
      <c r="G88" s="4" t="s">
        <v>100</v>
      </c>
      <c r="H88" s="6" t="s">
        <v>16</v>
      </c>
      <c r="I88" s="6" t="s">
        <v>4</v>
      </c>
      <c r="J88" s="47">
        <v>2020</v>
      </c>
      <c r="K88" s="5" t="s">
        <v>796</v>
      </c>
      <c r="L88" s="7">
        <v>43904</v>
      </c>
      <c r="M88" s="5" t="s">
        <v>797</v>
      </c>
      <c r="N88" s="5" t="s">
        <v>798</v>
      </c>
      <c r="O88" s="5"/>
      <c r="P88" s="6" t="s">
        <v>11</v>
      </c>
      <c r="Q88" s="6" t="s">
        <v>26</v>
      </c>
      <c r="R88" s="6" t="s">
        <v>13</v>
      </c>
      <c r="S88" s="62">
        <v>42</v>
      </c>
      <c r="T88" s="5" t="s">
        <v>170</v>
      </c>
      <c r="U88" s="4" t="s">
        <v>164</v>
      </c>
      <c r="V88" s="5"/>
      <c r="W88" s="5"/>
      <c r="X88" s="5"/>
      <c r="Y88" s="41">
        <v>42</v>
      </c>
      <c r="Z88" s="40"/>
      <c r="AA88" s="5"/>
      <c r="AB88" s="40"/>
      <c r="AC88" s="5"/>
      <c r="AD88" s="5" t="s">
        <v>319</v>
      </c>
      <c r="AE88" s="5" t="s">
        <v>171</v>
      </c>
      <c r="AF88" s="31">
        <v>44180</v>
      </c>
      <c r="AG88" s="34">
        <v>44180</v>
      </c>
      <c r="AH88" s="34">
        <v>44210</v>
      </c>
      <c r="AI88" s="31"/>
      <c r="AJ88" s="22">
        <f ca="1">IF(Table13[[#This Row],[RFC Remark]]="DONE",Table13[[#This Row],[RFC Date]]-Table13[[#This Row],[STIP Date]],$AJ$2-Table13[[#This Row],[STIP Date]])</f>
        <v>930</v>
      </c>
      <c r="AK88" s="5"/>
      <c r="AL88" s="5"/>
      <c r="AM88" s="5"/>
      <c r="AN88" s="5" t="s">
        <v>313</v>
      </c>
      <c r="AO88" s="5" t="s">
        <v>224</v>
      </c>
      <c r="AP88" s="43" t="s">
        <v>1040</v>
      </c>
      <c r="AQ88" s="43"/>
      <c r="AR88" s="5"/>
    </row>
    <row r="89" spans="1:44" ht="15" hidden="1" customHeight="1">
      <c r="A89" s="24" t="s">
        <v>291</v>
      </c>
      <c r="B89" s="2" t="s">
        <v>390</v>
      </c>
      <c r="C89" s="2" t="s">
        <v>481</v>
      </c>
      <c r="D89" s="36" t="s">
        <v>799</v>
      </c>
      <c r="E89" s="2" t="s">
        <v>800</v>
      </c>
      <c r="F89" s="2" t="s">
        <v>10</v>
      </c>
      <c r="G89" s="2" t="s">
        <v>100</v>
      </c>
      <c r="H89" s="2" t="s">
        <v>54</v>
      </c>
      <c r="I89" s="2" t="s">
        <v>4</v>
      </c>
      <c r="J89" s="46">
        <f t="shared" ref="J89:J97" si="4">L89</f>
        <v>43908</v>
      </c>
      <c r="K89" s="2" t="s">
        <v>801</v>
      </c>
      <c r="L89" s="28">
        <v>43908</v>
      </c>
      <c r="M89" s="2" t="s">
        <v>802</v>
      </c>
      <c r="N89" s="2" t="s">
        <v>802</v>
      </c>
      <c r="O89" s="2"/>
      <c r="P89" s="2" t="s">
        <v>5</v>
      </c>
      <c r="Q89" s="2" t="s">
        <v>21</v>
      </c>
      <c r="R89" s="2" t="s">
        <v>20</v>
      </c>
      <c r="S89" s="61">
        <v>28</v>
      </c>
      <c r="T89" s="2"/>
      <c r="U89" s="2"/>
      <c r="V89" s="2"/>
      <c r="W89" s="2"/>
      <c r="X89" s="2"/>
      <c r="Y89" s="2" t="s">
        <v>550</v>
      </c>
      <c r="Z89" s="2"/>
      <c r="AA89" s="2"/>
      <c r="AB89" s="2"/>
      <c r="AC89" s="2"/>
      <c r="AD89" s="2"/>
      <c r="AE89" s="2"/>
      <c r="AF89" s="30">
        <v>44202</v>
      </c>
      <c r="AG89" s="34">
        <v>44202</v>
      </c>
      <c r="AH89" s="34">
        <v>44232</v>
      </c>
      <c r="AI89" s="30"/>
      <c r="AJ89" s="61">
        <f ca="1">IF(Table13[[#This Row],[RFC Remark]]="DONE",Table13[[#This Row],[RFC Date]]-Table13[[#This Row],[STIP Date]],$AJ$2-Table13[[#This Row],[STIP Date]])</f>
        <v>926</v>
      </c>
      <c r="AK89" s="2"/>
      <c r="AL89" s="2"/>
      <c r="AM89" s="2"/>
      <c r="AN89" s="2" t="s">
        <v>313</v>
      </c>
      <c r="AO89" s="2"/>
      <c r="AP89" s="44"/>
      <c r="AQ89" s="44"/>
      <c r="AR89" s="2"/>
    </row>
    <row r="90" spans="1:44" ht="15" hidden="1" customHeight="1">
      <c r="A90" s="23" t="s">
        <v>292</v>
      </c>
      <c r="B90" s="2" t="s">
        <v>391</v>
      </c>
      <c r="C90" s="2" t="s">
        <v>482</v>
      </c>
      <c r="D90" s="36" t="s">
        <v>803</v>
      </c>
      <c r="E90" s="2" t="s">
        <v>804</v>
      </c>
      <c r="F90" s="2" t="s">
        <v>2</v>
      </c>
      <c r="G90" s="2" t="s">
        <v>100</v>
      </c>
      <c r="H90" s="2" t="s">
        <v>54</v>
      </c>
      <c r="I90" s="2" t="s">
        <v>4</v>
      </c>
      <c r="J90" s="46">
        <f t="shared" si="4"/>
        <v>43908</v>
      </c>
      <c r="K90" s="2" t="s">
        <v>805</v>
      </c>
      <c r="L90" s="28">
        <v>43908</v>
      </c>
      <c r="M90" s="2" t="s">
        <v>806</v>
      </c>
      <c r="N90" s="2" t="s">
        <v>806</v>
      </c>
      <c r="O90" s="2"/>
      <c r="P90" s="2" t="s">
        <v>5</v>
      </c>
      <c r="Q90" s="2" t="s">
        <v>35</v>
      </c>
      <c r="R90" s="2" t="s">
        <v>7</v>
      </c>
      <c r="S90" s="61">
        <v>25</v>
      </c>
      <c r="T90" s="2"/>
      <c r="U90" s="2"/>
      <c r="V90" s="2"/>
      <c r="W90" s="2"/>
      <c r="X90" s="2"/>
      <c r="Y90" s="2" t="s">
        <v>524</v>
      </c>
      <c r="Z90" s="2"/>
      <c r="AA90" s="2"/>
      <c r="AB90" s="2"/>
      <c r="AC90" s="2"/>
      <c r="AD90" s="2"/>
      <c r="AE90" s="2"/>
      <c r="AF90" s="30">
        <v>44202</v>
      </c>
      <c r="AG90" s="34">
        <v>44202</v>
      </c>
      <c r="AH90" s="34">
        <v>44232</v>
      </c>
      <c r="AI90" s="30"/>
      <c r="AJ90" s="61">
        <f ca="1">IF(Table13[[#This Row],[RFC Remark]]="DONE",Table13[[#This Row],[RFC Date]]-Table13[[#This Row],[STIP Date]],$AJ$2-Table13[[#This Row],[STIP Date]])</f>
        <v>926</v>
      </c>
      <c r="AK90" s="2"/>
      <c r="AL90" s="2"/>
      <c r="AM90" s="2"/>
      <c r="AN90" s="2" t="s">
        <v>313</v>
      </c>
      <c r="AO90" s="2"/>
      <c r="AP90" s="44"/>
      <c r="AQ90" s="44"/>
      <c r="AR90" s="2"/>
    </row>
    <row r="91" spans="1:44" ht="15" hidden="1" customHeight="1">
      <c r="A91" s="24" t="s">
        <v>293</v>
      </c>
      <c r="B91" s="2" t="s">
        <v>392</v>
      </c>
      <c r="C91" s="2" t="s">
        <v>483</v>
      </c>
      <c r="D91" s="36" t="s">
        <v>807</v>
      </c>
      <c r="E91" s="2" t="s">
        <v>808</v>
      </c>
      <c r="F91" s="2" t="s">
        <v>10</v>
      </c>
      <c r="G91" s="2" t="s">
        <v>100</v>
      </c>
      <c r="H91" s="2" t="s">
        <v>54</v>
      </c>
      <c r="I91" s="2" t="s">
        <v>4</v>
      </c>
      <c r="J91" s="46">
        <f t="shared" si="4"/>
        <v>43908</v>
      </c>
      <c r="K91" s="2" t="s">
        <v>809</v>
      </c>
      <c r="L91" s="28">
        <v>43908</v>
      </c>
      <c r="M91" s="2" t="s">
        <v>810</v>
      </c>
      <c r="N91" s="2" t="s">
        <v>810</v>
      </c>
      <c r="O91" s="2"/>
      <c r="P91" s="2" t="s">
        <v>5</v>
      </c>
      <c r="Q91" s="2" t="s">
        <v>21</v>
      </c>
      <c r="R91" s="2" t="s">
        <v>20</v>
      </c>
      <c r="S91" s="61">
        <v>27</v>
      </c>
      <c r="T91" s="2"/>
      <c r="U91" s="2"/>
      <c r="V91" s="2"/>
      <c r="W91" s="2"/>
      <c r="X91" s="2"/>
      <c r="Y91" s="2" t="s">
        <v>528</v>
      </c>
      <c r="Z91" s="2"/>
      <c r="AA91" s="2"/>
      <c r="AB91" s="2"/>
      <c r="AC91" s="2"/>
      <c r="AD91" s="2"/>
      <c r="AE91" s="2"/>
      <c r="AF91" s="30">
        <v>44202</v>
      </c>
      <c r="AG91" s="34">
        <v>44202</v>
      </c>
      <c r="AH91" s="34">
        <v>44232</v>
      </c>
      <c r="AI91" s="30"/>
      <c r="AJ91" s="61">
        <f ca="1">IF(Table13[[#This Row],[RFC Remark]]="DONE",Table13[[#This Row],[RFC Date]]-Table13[[#This Row],[STIP Date]],$AJ$2-Table13[[#This Row],[STIP Date]])</f>
        <v>926</v>
      </c>
      <c r="AK91" s="2"/>
      <c r="AL91" s="2"/>
      <c r="AM91" s="2"/>
      <c r="AN91" s="2" t="s">
        <v>313</v>
      </c>
      <c r="AO91" s="2"/>
      <c r="AP91" s="44"/>
      <c r="AQ91" s="44"/>
      <c r="AR91" s="2"/>
    </row>
    <row r="92" spans="1:44" ht="15" hidden="1" customHeight="1">
      <c r="A92" s="23" t="s">
        <v>294</v>
      </c>
      <c r="B92" s="2" t="s">
        <v>393</v>
      </c>
      <c r="C92" s="2" t="s">
        <v>484</v>
      </c>
      <c r="D92" s="36" t="s">
        <v>811</v>
      </c>
      <c r="E92" s="2" t="s">
        <v>812</v>
      </c>
      <c r="F92" s="2" t="s">
        <v>2</v>
      </c>
      <c r="G92" s="2" t="s">
        <v>100</v>
      </c>
      <c r="H92" s="2" t="s">
        <v>54</v>
      </c>
      <c r="I92" s="2" t="s">
        <v>4</v>
      </c>
      <c r="J92" s="46">
        <f t="shared" si="4"/>
        <v>43908</v>
      </c>
      <c r="K92" s="2" t="s">
        <v>813</v>
      </c>
      <c r="L92" s="28">
        <v>43908</v>
      </c>
      <c r="M92" s="2" t="s">
        <v>814</v>
      </c>
      <c r="N92" s="2" t="s">
        <v>814</v>
      </c>
      <c r="O92" s="2"/>
      <c r="P92" s="2" t="s">
        <v>5</v>
      </c>
      <c r="Q92" s="2" t="s">
        <v>505</v>
      </c>
      <c r="R92" s="2" t="s">
        <v>7</v>
      </c>
      <c r="S92" s="61">
        <v>26</v>
      </c>
      <c r="T92" s="2"/>
      <c r="U92" s="2"/>
      <c r="V92" s="2"/>
      <c r="W92" s="2"/>
      <c r="X92" s="2"/>
      <c r="Y92" s="2" t="s">
        <v>815</v>
      </c>
      <c r="Z92" s="2"/>
      <c r="AA92" s="2"/>
      <c r="AB92" s="2"/>
      <c r="AC92" s="2"/>
      <c r="AD92" s="2"/>
      <c r="AE92" s="2"/>
      <c r="AF92" s="30">
        <v>44202</v>
      </c>
      <c r="AG92" s="34">
        <v>44202</v>
      </c>
      <c r="AH92" s="34">
        <v>44232</v>
      </c>
      <c r="AI92" s="30"/>
      <c r="AJ92" s="61">
        <f ca="1">IF(Table13[[#This Row],[RFC Remark]]="DONE",Table13[[#This Row],[RFC Date]]-Table13[[#This Row],[STIP Date]],$AJ$2-Table13[[#This Row],[STIP Date]])</f>
        <v>926</v>
      </c>
      <c r="AK92" s="2"/>
      <c r="AL92" s="2"/>
      <c r="AM92" s="2"/>
      <c r="AN92" s="2" t="s">
        <v>313</v>
      </c>
      <c r="AO92" s="2"/>
      <c r="AP92" s="44"/>
      <c r="AQ92" s="44"/>
      <c r="AR92" s="2"/>
    </row>
    <row r="93" spans="1:44" ht="15" hidden="1" customHeight="1">
      <c r="A93" s="24" t="s">
        <v>295</v>
      </c>
      <c r="B93" s="2" t="s">
        <v>394</v>
      </c>
      <c r="C93" s="2" t="s">
        <v>485</v>
      </c>
      <c r="D93" s="36" t="s">
        <v>816</v>
      </c>
      <c r="E93" s="2" t="s">
        <v>817</v>
      </c>
      <c r="F93" s="2" t="s">
        <v>2</v>
      </c>
      <c r="G93" s="2" t="s">
        <v>100</v>
      </c>
      <c r="H93" s="2" t="s">
        <v>54</v>
      </c>
      <c r="I93" s="2" t="s">
        <v>4</v>
      </c>
      <c r="J93" s="46">
        <f t="shared" si="4"/>
        <v>43908</v>
      </c>
      <c r="K93" s="2" t="s">
        <v>818</v>
      </c>
      <c r="L93" s="28">
        <v>43908</v>
      </c>
      <c r="M93" s="2" t="s">
        <v>819</v>
      </c>
      <c r="N93" s="2" t="s">
        <v>819</v>
      </c>
      <c r="O93" s="2"/>
      <c r="P93" s="2" t="s">
        <v>5</v>
      </c>
      <c r="Q93" s="2" t="s">
        <v>35</v>
      </c>
      <c r="R93" s="2" t="s">
        <v>7</v>
      </c>
      <c r="S93" s="61">
        <v>30</v>
      </c>
      <c r="T93" s="2"/>
      <c r="U93" s="2"/>
      <c r="V93" s="2"/>
      <c r="W93" s="2"/>
      <c r="X93" s="2"/>
      <c r="Y93" s="2" t="s">
        <v>506</v>
      </c>
      <c r="Z93" s="2"/>
      <c r="AA93" s="2"/>
      <c r="AB93" s="2"/>
      <c r="AC93" s="2"/>
      <c r="AD93" s="2"/>
      <c r="AE93" s="2"/>
      <c r="AF93" s="30">
        <v>44202</v>
      </c>
      <c r="AG93" s="34">
        <v>44202</v>
      </c>
      <c r="AH93" s="34">
        <v>44232</v>
      </c>
      <c r="AI93" s="30"/>
      <c r="AJ93" s="61">
        <f ca="1">IF(Table13[[#This Row],[RFC Remark]]="DONE",Table13[[#This Row],[RFC Date]]-Table13[[#This Row],[STIP Date]],$AJ$2-Table13[[#This Row],[STIP Date]])</f>
        <v>926</v>
      </c>
      <c r="AK93" s="2"/>
      <c r="AL93" s="2"/>
      <c r="AM93" s="2"/>
      <c r="AN93" s="2" t="s">
        <v>313</v>
      </c>
      <c r="AO93" s="2"/>
      <c r="AP93" s="44"/>
      <c r="AQ93" s="44"/>
      <c r="AR93" s="2"/>
    </row>
    <row r="94" spans="1:44" ht="15" hidden="1" customHeight="1">
      <c r="A94" s="23" t="s">
        <v>296</v>
      </c>
      <c r="B94" s="2" t="s">
        <v>395</v>
      </c>
      <c r="C94" s="2" t="s">
        <v>486</v>
      </c>
      <c r="D94" s="36" t="s">
        <v>820</v>
      </c>
      <c r="E94" s="2" t="s">
        <v>821</v>
      </c>
      <c r="F94" s="2" t="s">
        <v>2</v>
      </c>
      <c r="G94" s="2" t="s">
        <v>100</v>
      </c>
      <c r="H94" s="2" t="s">
        <v>54</v>
      </c>
      <c r="I94" s="2" t="s">
        <v>4</v>
      </c>
      <c r="J94" s="46">
        <f t="shared" si="4"/>
        <v>43908</v>
      </c>
      <c r="K94" s="2" t="s">
        <v>822</v>
      </c>
      <c r="L94" s="28">
        <v>43908</v>
      </c>
      <c r="M94" s="2" t="s">
        <v>823</v>
      </c>
      <c r="N94" s="2" t="s">
        <v>823</v>
      </c>
      <c r="O94" s="2"/>
      <c r="P94" s="2" t="s">
        <v>5</v>
      </c>
      <c r="Q94" s="2" t="s">
        <v>505</v>
      </c>
      <c r="R94" s="2" t="s">
        <v>7</v>
      </c>
      <c r="S94" s="61">
        <v>24</v>
      </c>
      <c r="T94" s="2"/>
      <c r="U94" s="2"/>
      <c r="V94" s="2"/>
      <c r="W94" s="2"/>
      <c r="X94" s="2"/>
      <c r="Y94" s="2" t="s">
        <v>824</v>
      </c>
      <c r="Z94" s="2"/>
      <c r="AA94" s="2"/>
      <c r="AB94" s="2"/>
      <c r="AC94" s="2"/>
      <c r="AD94" s="2"/>
      <c r="AE94" s="2"/>
      <c r="AF94" s="30">
        <v>44202</v>
      </c>
      <c r="AG94" s="34">
        <v>44202</v>
      </c>
      <c r="AH94" s="34">
        <v>44232</v>
      </c>
      <c r="AI94" s="30"/>
      <c r="AJ94" s="61">
        <f ca="1">IF(Table13[[#This Row],[RFC Remark]]="DONE",Table13[[#This Row],[RFC Date]]-Table13[[#This Row],[STIP Date]],$AJ$2-Table13[[#This Row],[STIP Date]])</f>
        <v>926</v>
      </c>
      <c r="AK94" s="2"/>
      <c r="AL94" s="2"/>
      <c r="AM94" s="2"/>
      <c r="AN94" s="2" t="s">
        <v>313</v>
      </c>
      <c r="AO94" s="2"/>
      <c r="AP94" s="44"/>
      <c r="AQ94" s="44"/>
      <c r="AR94" s="2"/>
    </row>
    <row r="95" spans="1:44" ht="15" hidden="1" customHeight="1">
      <c r="A95" s="24" t="s">
        <v>297</v>
      </c>
      <c r="B95" s="2" t="s">
        <v>396</v>
      </c>
      <c r="C95" s="2" t="s">
        <v>487</v>
      </c>
      <c r="D95" s="36" t="s">
        <v>825</v>
      </c>
      <c r="E95" s="2" t="s">
        <v>826</v>
      </c>
      <c r="F95" s="2" t="s">
        <v>10</v>
      </c>
      <c r="G95" s="2" t="s">
        <v>100</v>
      </c>
      <c r="H95" s="2" t="s">
        <v>54</v>
      </c>
      <c r="I95" s="2" t="s">
        <v>4</v>
      </c>
      <c r="J95" s="46">
        <f t="shared" si="4"/>
        <v>43908</v>
      </c>
      <c r="K95" s="2" t="s">
        <v>827</v>
      </c>
      <c r="L95" s="28">
        <v>43908</v>
      </c>
      <c r="M95" s="2" t="s">
        <v>828</v>
      </c>
      <c r="N95" s="2" t="s">
        <v>828</v>
      </c>
      <c r="O95" s="2"/>
      <c r="P95" s="2" t="s">
        <v>5</v>
      </c>
      <c r="Q95" s="2" t="s">
        <v>21</v>
      </c>
      <c r="R95" s="2" t="s">
        <v>20</v>
      </c>
      <c r="S95" s="61">
        <v>30</v>
      </c>
      <c r="T95" s="2"/>
      <c r="U95" s="2"/>
      <c r="V95" s="2"/>
      <c r="W95" s="2"/>
      <c r="X95" s="2"/>
      <c r="Y95" s="2" t="s">
        <v>506</v>
      </c>
      <c r="Z95" s="2"/>
      <c r="AA95" s="2"/>
      <c r="AB95" s="2"/>
      <c r="AC95" s="2"/>
      <c r="AD95" s="2"/>
      <c r="AE95" s="2"/>
      <c r="AF95" s="30">
        <v>44202</v>
      </c>
      <c r="AG95" s="34">
        <v>44202</v>
      </c>
      <c r="AH95" s="34">
        <v>44232</v>
      </c>
      <c r="AI95" s="30"/>
      <c r="AJ95" s="61">
        <f ca="1">IF(Table13[[#This Row],[RFC Remark]]="DONE",Table13[[#This Row],[RFC Date]]-Table13[[#This Row],[STIP Date]],$AJ$2-Table13[[#This Row],[STIP Date]])</f>
        <v>926</v>
      </c>
      <c r="AK95" s="2"/>
      <c r="AL95" s="2"/>
      <c r="AM95" s="2"/>
      <c r="AN95" s="2" t="s">
        <v>313</v>
      </c>
      <c r="AO95" s="2"/>
      <c r="AP95" s="44"/>
      <c r="AQ95" s="44"/>
      <c r="AR95" s="2"/>
    </row>
    <row r="96" spans="1:44" ht="15" hidden="1" customHeight="1">
      <c r="A96" s="23" t="s">
        <v>298</v>
      </c>
      <c r="B96" s="2" t="s">
        <v>397</v>
      </c>
      <c r="C96" s="2" t="s">
        <v>488</v>
      </c>
      <c r="D96" s="36" t="s">
        <v>829</v>
      </c>
      <c r="E96" s="2" t="s">
        <v>830</v>
      </c>
      <c r="F96" s="2" t="s">
        <v>10</v>
      </c>
      <c r="G96" s="2" t="s">
        <v>100</v>
      </c>
      <c r="H96" s="2" t="s">
        <v>54</v>
      </c>
      <c r="I96" s="2" t="s">
        <v>4</v>
      </c>
      <c r="J96" s="46">
        <f t="shared" si="4"/>
        <v>43908</v>
      </c>
      <c r="K96" s="2" t="s">
        <v>831</v>
      </c>
      <c r="L96" s="28">
        <v>43908</v>
      </c>
      <c r="M96" s="2" t="s">
        <v>832</v>
      </c>
      <c r="N96" s="2" t="s">
        <v>832</v>
      </c>
      <c r="O96" s="2"/>
      <c r="P96" s="2" t="s">
        <v>5</v>
      </c>
      <c r="Q96" s="2" t="s">
        <v>21</v>
      </c>
      <c r="R96" s="2" t="s">
        <v>20</v>
      </c>
      <c r="S96" s="61">
        <v>24</v>
      </c>
      <c r="T96" s="2"/>
      <c r="U96" s="2"/>
      <c r="V96" s="2"/>
      <c r="W96" s="2"/>
      <c r="X96" s="2"/>
      <c r="Y96" s="2" t="s">
        <v>824</v>
      </c>
      <c r="Z96" s="2"/>
      <c r="AA96" s="2"/>
      <c r="AB96" s="2"/>
      <c r="AC96" s="2"/>
      <c r="AD96" s="2"/>
      <c r="AE96" s="2"/>
      <c r="AF96" s="30">
        <v>44202</v>
      </c>
      <c r="AG96" s="34">
        <v>44202</v>
      </c>
      <c r="AH96" s="34">
        <v>44232</v>
      </c>
      <c r="AI96" s="30"/>
      <c r="AJ96" s="61">
        <f ca="1">IF(Table13[[#This Row],[RFC Remark]]="DONE",Table13[[#This Row],[RFC Date]]-Table13[[#This Row],[STIP Date]],$AJ$2-Table13[[#This Row],[STIP Date]])</f>
        <v>926</v>
      </c>
      <c r="AK96" s="2"/>
      <c r="AL96" s="2"/>
      <c r="AM96" s="2"/>
      <c r="AN96" s="2" t="s">
        <v>313</v>
      </c>
      <c r="AO96" s="2"/>
      <c r="AP96" s="44"/>
      <c r="AQ96" s="44"/>
      <c r="AR96" s="2"/>
    </row>
    <row r="97" spans="1:44" ht="15" hidden="1" customHeight="1">
      <c r="A97" s="606" t="s">
        <v>299</v>
      </c>
      <c r="B97" s="488" t="s">
        <v>398</v>
      </c>
      <c r="C97" s="488" t="s">
        <v>489</v>
      </c>
      <c r="D97" s="607" t="s">
        <v>833</v>
      </c>
      <c r="E97" s="488" t="s">
        <v>834</v>
      </c>
      <c r="F97" s="488" t="s">
        <v>10</v>
      </c>
      <c r="G97" s="488" t="s">
        <v>100</v>
      </c>
      <c r="H97" s="488" t="s">
        <v>54</v>
      </c>
      <c r="I97" s="488" t="s">
        <v>4</v>
      </c>
      <c r="J97" s="608">
        <f t="shared" si="4"/>
        <v>43908</v>
      </c>
      <c r="K97" s="488" t="s">
        <v>835</v>
      </c>
      <c r="L97" s="609">
        <v>43908</v>
      </c>
      <c r="M97" s="488" t="s">
        <v>836</v>
      </c>
      <c r="N97" s="488" t="s">
        <v>836</v>
      </c>
      <c r="O97" s="488"/>
      <c r="P97" s="488" t="s">
        <v>5</v>
      </c>
      <c r="Q97" s="488" t="s">
        <v>21</v>
      </c>
      <c r="R97" s="488" t="s">
        <v>20</v>
      </c>
      <c r="S97" s="541">
        <v>24</v>
      </c>
      <c r="T97" s="488"/>
      <c r="U97" s="488"/>
      <c r="V97" s="488"/>
      <c r="W97" s="488"/>
      <c r="X97" s="488"/>
      <c r="Y97" s="488" t="s">
        <v>824</v>
      </c>
      <c r="Z97" s="488"/>
      <c r="AA97" s="488"/>
      <c r="AB97" s="488"/>
      <c r="AC97" s="488"/>
      <c r="AD97" s="488"/>
      <c r="AE97" s="488"/>
      <c r="AF97" s="610">
        <v>44202</v>
      </c>
      <c r="AG97" s="52">
        <v>44202</v>
      </c>
      <c r="AH97" s="52">
        <v>44232</v>
      </c>
      <c r="AI97" s="610"/>
      <c r="AJ97" s="541">
        <f ca="1">IF(Table13[[#This Row],[RFC Remark]]="DONE",Table13[[#This Row],[RFC Date]]-Table13[[#This Row],[STIP Date]],$AJ$2-Table13[[#This Row],[STIP Date]])</f>
        <v>926</v>
      </c>
      <c r="AK97" s="488"/>
      <c r="AL97" s="488"/>
      <c r="AM97" s="488"/>
      <c r="AN97" s="488" t="s">
        <v>313</v>
      </c>
      <c r="AO97" s="488"/>
      <c r="AP97" s="611"/>
      <c r="AQ97" s="611"/>
      <c r="AR97" s="488"/>
    </row>
    <row r="98" spans="1:44" ht="15" customHeight="1">
      <c r="A98" s="6" t="s">
        <v>46</v>
      </c>
      <c r="B98" s="6" t="s">
        <v>130</v>
      </c>
      <c r="C98" s="13" t="s">
        <v>131</v>
      </c>
      <c r="D98" s="6" t="s">
        <v>49</v>
      </c>
      <c r="E98" s="6" t="s">
        <v>49</v>
      </c>
      <c r="F98" s="6" t="s">
        <v>2</v>
      </c>
      <c r="G98" s="4" t="s">
        <v>100</v>
      </c>
      <c r="H98" s="6" t="s">
        <v>16</v>
      </c>
      <c r="I98" s="6" t="s">
        <v>4</v>
      </c>
      <c r="J98" s="47">
        <v>2020</v>
      </c>
      <c r="K98" s="5" t="s">
        <v>838</v>
      </c>
      <c r="L98" s="7">
        <v>44006</v>
      </c>
      <c r="M98" s="5" t="s">
        <v>839</v>
      </c>
      <c r="N98" s="5" t="s">
        <v>840</v>
      </c>
      <c r="O98" s="5"/>
      <c r="P98" s="6" t="s">
        <v>5</v>
      </c>
      <c r="Q98" s="6" t="s">
        <v>6</v>
      </c>
      <c r="R98" s="6" t="s">
        <v>7</v>
      </c>
      <c r="S98" s="62">
        <v>20</v>
      </c>
      <c r="T98" s="5" t="s">
        <v>628</v>
      </c>
      <c r="U98" s="8" t="s">
        <v>165</v>
      </c>
      <c r="V98" s="5" t="s">
        <v>314</v>
      </c>
      <c r="W98" s="5">
        <v>-6.1188099999999999</v>
      </c>
      <c r="X98" s="5">
        <v>106.91352999999999</v>
      </c>
      <c r="Y98" s="41">
        <v>20</v>
      </c>
      <c r="Z98" s="40">
        <v>20</v>
      </c>
      <c r="AA98" s="39">
        <v>44090</v>
      </c>
      <c r="AB98" s="40">
        <v>20</v>
      </c>
      <c r="AC98" s="39">
        <v>44159</v>
      </c>
      <c r="AD98" s="5" t="s">
        <v>1405</v>
      </c>
      <c r="AE98" s="5" t="s">
        <v>171</v>
      </c>
      <c r="AF98" s="31" t="s">
        <v>167</v>
      </c>
      <c r="AG98" s="34" t="s">
        <v>167</v>
      </c>
      <c r="AH98" s="34" t="e">
        <v>#VALUE!</v>
      </c>
      <c r="AI98" s="501">
        <v>44155</v>
      </c>
      <c r="AJ98" s="63">
        <f>IF(Table13[[#This Row],[RFC Remark]]="DONE",Table13[[#This Row],[RFC Date]]-Table13[[#This Row],[STIP Date]],$AJ$2-Table13[[#This Row],[STIP Date]])</f>
        <v>149</v>
      </c>
      <c r="AK98" s="5" t="s">
        <v>167</v>
      </c>
      <c r="AL98" s="5"/>
      <c r="AM98" s="5"/>
      <c r="AN98" s="5" t="s">
        <v>311</v>
      </c>
      <c r="AO98" s="5" t="s">
        <v>173</v>
      </c>
      <c r="AP98" s="43" t="s">
        <v>173</v>
      </c>
      <c r="AQ98" s="43"/>
      <c r="AR98" s="5"/>
    </row>
    <row r="99" spans="1:44" ht="15" customHeight="1">
      <c r="A99" s="617" t="s">
        <v>45</v>
      </c>
      <c r="B99" s="617" t="s">
        <v>128</v>
      </c>
      <c r="C99" s="618" t="s">
        <v>129</v>
      </c>
      <c r="D99" s="617" t="s">
        <v>48</v>
      </c>
      <c r="E99" s="617" t="s">
        <v>48</v>
      </c>
      <c r="F99" s="617" t="s">
        <v>2</v>
      </c>
      <c r="G99" s="619" t="s">
        <v>100</v>
      </c>
      <c r="H99" s="617" t="s">
        <v>16</v>
      </c>
      <c r="I99" s="617" t="s">
        <v>4</v>
      </c>
      <c r="J99" s="620">
        <v>2020</v>
      </c>
      <c r="K99" s="621" t="s">
        <v>837</v>
      </c>
      <c r="L99" s="622">
        <v>44006</v>
      </c>
      <c r="M99" s="631">
        <v>-6.1217649999999999</v>
      </c>
      <c r="N99" s="631">
        <v>106.88795</v>
      </c>
      <c r="O99" s="632"/>
      <c r="P99" s="617" t="s">
        <v>5</v>
      </c>
      <c r="Q99" s="617" t="s">
        <v>6</v>
      </c>
      <c r="R99" s="617" t="s">
        <v>7</v>
      </c>
      <c r="S99" s="544">
        <v>20</v>
      </c>
      <c r="T99" s="621" t="s">
        <v>169</v>
      </c>
      <c r="U99" s="623" t="s">
        <v>163</v>
      </c>
      <c r="V99" s="621" t="s">
        <v>323</v>
      </c>
      <c r="W99" s="621">
        <v>-6.1221399999999999</v>
      </c>
      <c r="X99" s="621">
        <v>106.88779</v>
      </c>
      <c r="Y99" s="624">
        <v>20</v>
      </c>
      <c r="Z99" s="625">
        <v>20</v>
      </c>
      <c r="AA99" s="633">
        <v>44090</v>
      </c>
      <c r="AB99" s="625">
        <v>20</v>
      </c>
      <c r="AC99" s="633">
        <v>44159</v>
      </c>
      <c r="AD99" s="621" t="s">
        <v>1405</v>
      </c>
      <c r="AE99" s="621" t="s">
        <v>171</v>
      </c>
      <c r="AF99" s="626" t="s">
        <v>167</v>
      </c>
      <c r="AG99" s="627" t="s">
        <v>167</v>
      </c>
      <c r="AH99" s="627" t="e">
        <v>#VALUE!</v>
      </c>
      <c r="AI99" s="628">
        <v>44167</v>
      </c>
      <c r="AJ99" s="543">
        <f>IF(Table13[[#This Row],[RFC Remark]]="DONE",Table13[[#This Row],[RFC Date]]-Table13[[#This Row],[STIP Date]],$AJ$2-Table13[[#This Row],[STIP Date]])</f>
        <v>161</v>
      </c>
      <c r="AK99" s="621" t="s">
        <v>167</v>
      </c>
      <c r="AL99" s="621"/>
      <c r="AM99" s="621"/>
      <c r="AN99" s="621" t="s">
        <v>311</v>
      </c>
      <c r="AO99" s="621" t="s">
        <v>173</v>
      </c>
      <c r="AP99" s="629" t="s">
        <v>173</v>
      </c>
      <c r="AQ99" s="629"/>
      <c r="AR99" s="621"/>
    </row>
    <row r="100" spans="1:44" ht="15" customHeight="1">
      <c r="A100" s="9" t="s">
        <v>923</v>
      </c>
      <c r="B100" s="6" t="s">
        <v>134</v>
      </c>
      <c r="C100" s="16" t="s">
        <v>135</v>
      </c>
      <c r="D100" s="6" t="s">
        <v>52</v>
      </c>
      <c r="E100" s="6" t="s">
        <v>52</v>
      </c>
      <c r="F100" s="6" t="s">
        <v>10</v>
      </c>
      <c r="G100" s="4" t="s">
        <v>100</v>
      </c>
      <c r="H100" s="6" t="s">
        <v>16</v>
      </c>
      <c r="I100" s="6" t="s">
        <v>4</v>
      </c>
      <c r="J100" s="47">
        <v>2020</v>
      </c>
      <c r="K100" s="5" t="s">
        <v>850</v>
      </c>
      <c r="L100" s="7">
        <v>44018</v>
      </c>
      <c r="M100" s="5" t="s">
        <v>851</v>
      </c>
      <c r="N100" s="5" t="s">
        <v>852</v>
      </c>
      <c r="O100" s="5"/>
      <c r="P100" s="6" t="s">
        <v>11</v>
      </c>
      <c r="Q100" s="6" t="s">
        <v>53</v>
      </c>
      <c r="R100" s="6" t="s">
        <v>13</v>
      </c>
      <c r="S100" s="62">
        <v>32</v>
      </c>
      <c r="T100" s="5" t="s">
        <v>931</v>
      </c>
      <c r="U100" s="8" t="s">
        <v>163</v>
      </c>
      <c r="V100" s="8" t="s">
        <v>178</v>
      </c>
      <c r="W100" s="416">
        <v>-6.2248609999999998</v>
      </c>
      <c r="X100" s="5">
        <v>106.957639</v>
      </c>
      <c r="Y100" s="41">
        <v>27</v>
      </c>
      <c r="Z100" s="40">
        <v>25</v>
      </c>
      <c r="AA100" s="5"/>
      <c r="AB100" s="40"/>
      <c r="AC100" s="5"/>
      <c r="AD100" s="5" t="s">
        <v>319</v>
      </c>
      <c r="AE100" s="5" t="s">
        <v>171</v>
      </c>
      <c r="AF100" s="31" t="s">
        <v>167</v>
      </c>
      <c r="AG100" s="34" t="s">
        <v>167</v>
      </c>
      <c r="AH100" s="34" t="e">
        <v>#VALUE!</v>
      </c>
      <c r="AI100" s="31">
        <v>44214</v>
      </c>
      <c r="AJ100" s="63">
        <f>IF(Table13[[#This Row],[RFC Remark]]="DONE",Table13[[#This Row],[RFC Date]]-Table13[[#This Row],[STIP Date]],$AJ$2-Table13[[#This Row],[STIP Date]])</f>
        <v>196</v>
      </c>
      <c r="AK100" s="5" t="s">
        <v>167</v>
      </c>
      <c r="AL100" s="5" t="str">
        <f>IF(Table13[[#This Row],[Aging RFC]]&lt;=85,"ONTIME","DELAY")</f>
        <v>DELAY</v>
      </c>
      <c r="AM100" s="5"/>
      <c r="AN100" s="5" t="s">
        <v>311</v>
      </c>
      <c r="AO100" s="5" t="s">
        <v>173</v>
      </c>
      <c r="AP100" s="43" t="s">
        <v>2217</v>
      </c>
      <c r="AQ100" s="43"/>
      <c r="AR100" s="5"/>
    </row>
    <row r="101" spans="1:44" ht="15" customHeight="1">
      <c r="A101" s="25" t="s">
        <v>303</v>
      </c>
      <c r="B101" s="2" t="s">
        <v>401</v>
      </c>
      <c r="C101" s="2" t="s">
        <v>492</v>
      </c>
      <c r="D101" s="2" t="s">
        <v>857</v>
      </c>
      <c r="E101" s="2" t="s">
        <v>857</v>
      </c>
      <c r="F101" s="2" t="s">
        <v>10</v>
      </c>
      <c r="G101" s="2" t="s">
        <v>100</v>
      </c>
      <c r="H101" s="2" t="s">
        <v>16</v>
      </c>
      <c r="I101" s="2" t="s">
        <v>216</v>
      </c>
      <c r="J101" s="46">
        <f>L101</f>
        <v>44089</v>
      </c>
      <c r="K101" s="2" t="s">
        <v>858</v>
      </c>
      <c r="L101" s="28">
        <v>44089</v>
      </c>
      <c r="M101" s="2" t="s">
        <v>859</v>
      </c>
      <c r="N101" s="2" t="s">
        <v>859</v>
      </c>
      <c r="O101" s="2"/>
      <c r="P101" s="2" t="s">
        <v>5</v>
      </c>
      <c r="Q101" s="2" t="s">
        <v>6</v>
      </c>
      <c r="R101" s="2" t="s">
        <v>7</v>
      </c>
      <c r="S101" s="61">
        <v>16.5</v>
      </c>
      <c r="T101" s="2" t="s">
        <v>216</v>
      </c>
      <c r="U101" s="2" t="s">
        <v>216</v>
      </c>
      <c r="V101" s="2"/>
      <c r="W101" s="2"/>
      <c r="X101" s="2"/>
      <c r="Y101" s="677">
        <v>16.5</v>
      </c>
      <c r="Z101" s="29"/>
      <c r="AA101" s="2"/>
      <c r="AB101" s="29"/>
      <c r="AC101" s="2"/>
      <c r="AD101" s="2"/>
      <c r="AE101" s="2"/>
      <c r="AF101" s="30">
        <v>44206</v>
      </c>
      <c r="AG101" s="34">
        <v>44206</v>
      </c>
      <c r="AH101" s="517">
        <v>44236</v>
      </c>
      <c r="AI101" s="30">
        <v>44145</v>
      </c>
      <c r="AJ101" s="63">
        <f>IF(Table13[[#This Row],[RFC Remark]]="DONE",Table13[[#This Row],[RFC Date]]-Table13[[#This Row],[STIP Date]],$AJ$2-Table13[[#This Row],[STIP Date]])</f>
        <v>56</v>
      </c>
      <c r="AK101" s="2" t="s">
        <v>167</v>
      </c>
      <c r="AL101" s="2"/>
      <c r="AM101" s="2"/>
      <c r="AN101" s="2" t="s">
        <v>311</v>
      </c>
      <c r="AO101" s="2" t="s">
        <v>173</v>
      </c>
      <c r="AP101" s="44"/>
      <c r="AQ101" s="44"/>
      <c r="AR101" s="2"/>
    </row>
    <row r="102" spans="1:44" ht="15" hidden="1" customHeight="1">
      <c r="A102" s="606" t="s">
        <v>301</v>
      </c>
      <c r="B102" s="488" t="s">
        <v>399</v>
      </c>
      <c r="C102" s="488" t="s">
        <v>490</v>
      </c>
      <c r="D102" s="607" t="s">
        <v>844</v>
      </c>
      <c r="E102" s="488" t="s">
        <v>844</v>
      </c>
      <c r="F102" s="488" t="s">
        <v>2</v>
      </c>
      <c r="G102" s="488" t="s">
        <v>100</v>
      </c>
      <c r="H102" s="488" t="s">
        <v>16</v>
      </c>
      <c r="I102" s="488" t="s">
        <v>4</v>
      </c>
      <c r="J102" s="608">
        <f>L102</f>
        <v>44006</v>
      </c>
      <c r="K102" s="488" t="s">
        <v>845</v>
      </c>
      <c r="L102" s="609">
        <v>44006</v>
      </c>
      <c r="M102" s="488" t="s">
        <v>846</v>
      </c>
      <c r="N102" s="488" t="s">
        <v>846</v>
      </c>
      <c r="O102" s="488"/>
      <c r="P102" s="488" t="s">
        <v>5</v>
      </c>
      <c r="Q102" s="488" t="s">
        <v>6</v>
      </c>
      <c r="R102" s="488" t="s">
        <v>7</v>
      </c>
      <c r="S102" s="541">
        <v>20</v>
      </c>
      <c r="T102" s="488"/>
      <c r="U102" s="488"/>
      <c r="V102" s="488"/>
      <c r="W102" s="488"/>
      <c r="X102" s="488"/>
      <c r="Y102" s="483" t="s">
        <v>510</v>
      </c>
      <c r="Z102" s="612"/>
      <c r="AA102" s="488"/>
      <c r="AB102" s="612"/>
      <c r="AC102" s="488"/>
      <c r="AD102" s="488"/>
      <c r="AE102" s="488"/>
      <c r="AF102" s="610">
        <v>44202</v>
      </c>
      <c r="AG102" s="52">
        <v>44202</v>
      </c>
      <c r="AH102" s="52">
        <v>44232</v>
      </c>
      <c r="AI102" s="610"/>
      <c r="AJ102" s="541">
        <f ca="1">IF(Table13[[#This Row],[RFC Remark]]="DONE",Table13[[#This Row],[RFC Date]]-Table13[[#This Row],[STIP Date]],$AJ$2-Table13[[#This Row],[STIP Date]])</f>
        <v>828</v>
      </c>
      <c r="AK102" s="488"/>
      <c r="AL102" s="488"/>
      <c r="AM102" s="49"/>
      <c r="AN102" s="488" t="s">
        <v>313</v>
      </c>
      <c r="AO102" s="488"/>
      <c r="AP102" s="611"/>
      <c r="AQ102" s="611"/>
      <c r="AR102" s="488"/>
    </row>
    <row r="103" spans="1:44" ht="15" hidden="1" customHeight="1">
      <c r="A103" s="6" t="s">
        <v>50</v>
      </c>
      <c r="B103" s="6" t="s">
        <v>132</v>
      </c>
      <c r="C103" s="13" t="s">
        <v>133</v>
      </c>
      <c r="D103" s="17" t="s">
        <v>51</v>
      </c>
      <c r="E103" s="6" t="s">
        <v>157</v>
      </c>
      <c r="F103" s="6" t="s">
        <v>10</v>
      </c>
      <c r="G103" s="4" t="s">
        <v>100</v>
      </c>
      <c r="H103" s="6" t="s">
        <v>16</v>
      </c>
      <c r="I103" s="6" t="s">
        <v>4</v>
      </c>
      <c r="J103" s="47">
        <v>2020</v>
      </c>
      <c r="K103" s="5" t="s">
        <v>847</v>
      </c>
      <c r="L103" s="7">
        <v>44007</v>
      </c>
      <c r="M103" s="5" t="s">
        <v>848</v>
      </c>
      <c r="N103" s="5" t="s">
        <v>849</v>
      </c>
      <c r="O103" s="5"/>
      <c r="P103" s="6" t="s">
        <v>11</v>
      </c>
      <c r="Q103" s="6" t="s">
        <v>26</v>
      </c>
      <c r="R103" s="6" t="s">
        <v>13</v>
      </c>
      <c r="S103" s="62">
        <v>40</v>
      </c>
      <c r="T103" s="5" t="s">
        <v>170</v>
      </c>
      <c r="U103" s="4" t="s">
        <v>2908</v>
      </c>
      <c r="V103" s="5"/>
      <c r="W103" s="5"/>
      <c r="X103" s="5"/>
      <c r="Y103" s="41"/>
      <c r="Z103" s="40"/>
      <c r="AA103" s="5"/>
      <c r="AB103" s="40"/>
      <c r="AC103" s="5"/>
      <c r="AD103" s="5" t="s">
        <v>319</v>
      </c>
      <c r="AE103" s="5" t="s">
        <v>171</v>
      </c>
      <c r="AF103" s="30" t="e">
        <f>VLOOKUP(Table13[[#This Row],[SONum]],[2]Worksheet1!$B$1:$Z$59,23,0)</f>
        <v>#N/A</v>
      </c>
      <c r="AG103" s="30" t="e">
        <f>VLOOKUP(Table13[[#This Row],[SONum]],[2]Worksheet1!$B$1:$Z$59,23,0)</f>
        <v>#N/A</v>
      </c>
      <c r="AH103" s="30" t="e">
        <f>VLOOKUP(Table13[[#This Row],[SONum]],[2]Worksheet1!$B$1:$Z$59,23,0)</f>
        <v>#N/A</v>
      </c>
      <c r="AI103" s="31"/>
      <c r="AJ103" s="22">
        <f ca="1">IF(Table13[[#This Row],[RFC Remark]]="DONE",Table13[[#This Row],[RFC Date]]-Table13[[#This Row],[STIP Date]],$AJ$2-Table13[[#This Row],[STIP Date]])</f>
        <v>827</v>
      </c>
      <c r="AK103" s="5"/>
      <c r="AL103" s="5"/>
      <c r="AM103" s="5" t="e">
        <f>_xlfn.DAYS(Table13[[#This Row],[RFC Projection]],Table13[[#This Row],[STIP Date]])</f>
        <v>#N/A</v>
      </c>
      <c r="AN103" s="5" t="s">
        <v>2944</v>
      </c>
      <c r="AO103" s="5" t="s">
        <v>2944</v>
      </c>
      <c r="AP103" s="43" t="s">
        <v>176</v>
      </c>
      <c r="AQ103" s="43"/>
      <c r="AR103" s="5"/>
    </row>
    <row r="104" spans="1:44" ht="15" customHeight="1">
      <c r="A104" s="634" t="s">
        <v>8</v>
      </c>
      <c r="B104" s="634" t="s">
        <v>105</v>
      </c>
      <c r="C104" s="705" t="s">
        <v>106</v>
      </c>
      <c r="D104" s="634" t="s">
        <v>9</v>
      </c>
      <c r="E104" s="634" t="s">
        <v>9</v>
      </c>
      <c r="F104" s="634" t="s">
        <v>10</v>
      </c>
      <c r="G104" s="636" t="s">
        <v>100</v>
      </c>
      <c r="H104" s="634" t="s">
        <v>3</v>
      </c>
      <c r="I104" s="634" t="s">
        <v>4</v>
      </c>
      <c r="J104" s="495">
        <v>2020</v>
      </c>
      <c r="K104" s="637" t="s">
        <v>863</v>
      </c>
      <c r="L104" s="638">
        <v>44097</v>
      </c>
      <c r="M104" s="637" t="s">
        <v>864</v>
      </c>
      <c r="N104" s="637" t="s">
        <v>865</v>
      </c>
      <c r="O104" s="637"/>
      <c r="P104" s="634" t="s">
        <v>11</v>
      </c>
      <c r="Q104" s="634" t="s">
        <v>12</v>
      </c>
      <c r="R104" s="634" t="s">
        <v>13</v>
      </c>
      <c r="S104" s="639">
        <v>72</v>
      </c>
      <c r="T104" s="637" t="s">
        <v>168</v>
      </c>
      <c r="U104" s="640" t="s">
        <v>165</v>
      </c>
      <c r="V104" s="637"/>
      <c r="W104" s="637"/>
      <c r="X104" s="637"/>
      <c r="Y104" s="641">
        <v>72</v>
      </c>
      <c r="Z104" s="642"/>
      <c r="AA104" s="637"/>
      <c r="AB104" s="642"/>
      <c r="AC104" s="637"/>
      <c r="AD104" s="637" t="s">
        <v>319</v>
      </c>
      <c r="AE104" s="637" t="s">
        <v>171</v>
      </c>
      <c r="AF104" s="643" t="s">
        <v>167</v>
      </c>
      <c r="AG104" s="644" t="s">
        <v>167</v>
      </c>
      <c r="AH104" s="644" t="e">
        <v>#VALUE!</v>
      </c>
      <c r="AI104" s="648">
        <v>44155</v>
      </c>
      <c r="AJ104" s="546">
        <f>IF(Table13[[#This Row],[RFC Remark]]="DONE",Table13[[#This Row],[RFC Date]]-Table13[[#This Row],[STIP Date]],$AJ$2-Table13[[#This Row],[STIP Date]])</f>
        <v>58</v>
      </c>
      <c r="AK104" s="637" t="s">
        <v>167</v>
      </c>
      <c r="AL104" s="637"/>
      <c r="AM104" s="637"/>
      <c r="AN104" s="637" t="s">
        <v>311</v>
      </c>
      <c r="AO104" s="637" t="s">
        <v>173</v>
      </c>
      <c r="AP104" s="496" t="s">
        <v>173</v>
      </c>
      <c r="AQ104" s="496"/>
      <c r="AR104" s="637"/>
    </row>
    <row r="105" spans="1:44" ht="15" hidden="1" customHeight="1">
      <c r="A105" s="25" t="s">
        <v>302</v>
      </c>
      <c r="B105" s="2" t="s">
        <v>400</v>
      </c>
      <c r="C105" s="2" t="s">
        <v>491</v>
      </c>
      <c r="D105" s="2" t="s">
        <v>853</v>
      </c>
      <c r="E105" s="2" t="s">
        <v>854</v>
      </c>
      <c r="F105" s="2" t="s">
        <v>10</v>
      </c>
      <c r="G105" s="2" t="s">
        <v>100</v>
      </c>
      <c r="H105" s="2" t="s">
        <v>16</v>
      </c>
      <c r="I105" s="2" t="s">
        <v>216</v>
      </c>
      <c r="J105" s="46">
        <f>L105</f>
        <v>44082</v>
      </c>
      <c r="K105" s="2" t="s">
        <v>855</v>
      </c>
      <c r="L105" s="28">
        <v>44082</v>
      </c>
      <c r="M105" s="2" t="s">
        <v>856</v>
      </c>
      <c r="N105" s="2" t="s">
        <v>856</v>
      </c>
      <c r="O105" s="2"/>
      <c r="P105" s="2" t="s">
        <v>5</v>
      </c>
      <c r="Q105" s="2" t="s">
        <v>6</v>
      </c>
      <c r="R105" s="2" t="s">
        <v>7</v>
      </c>
      <c r="S105" s="61">
        <v>23</v>
      </c>
      <c r="T105" s="2"/>
      <c r="U105" s="4" t="str">
        <f>IF(Table13[[#This Row],[Regional]]="JABODETABEK (INNER)", "Rahadian","Rinaldi")</f>
        <v>Rahadian</v>
      </c>
      <c r="V105" s="2"/>
      <c r="W105" s="2"/>
      <c r="X105" s="2"/>
      <c r="Y105" s="672">
        <v>23</v>
      </c>
      <c r="Z105" s="29"/>
      <c r="AA105" s="2"/>
      <c r="AB105" s="29"/>
      <c r="AC105" s="2"/>
      <c r="AD105" s="2"/>
      <c r="AE105" s="2"/>
      <c r="AF105" s="30" t="e">
        <f>VLOOKUP(Table13[[#This Row],[SONum]],[2]Worksheet1!$B$1:$Z$59,23,0)</f>
        <v>#N/A</v>
      </c>
      <c r="AG105" s="30" t="e">
        <f>VLOOKUP(Table13[[#This Row],[SONum]],[2]Worksheet1!$B$1:$Z$59,23,0)</f>
        <v>#N/A</v>
      </c>
      <c r="AH105" s="30" t="e">
        <f>VLOOKUP(Table13[[#This Row],[SONum]],[2]Worksheet1!$B$1:$Z$59,23,0)</f>
        <v>#N/A</v>
      </c>
      <c r="AI105" s="30"/>
      <c r="AJ105" s="61">
        <f ca="1">IF(Table13[[#This Row],[RFC Remark]]="DONE",Table13[[#This Row],[RFC Date]]-Table13[[#This Row],[STIP Date]],$AJ$2-Table13[[#This Row],[STIP Date]])</f>
        <v>752</v>
      </c>
      <c r="AK105" s="2"/>
      <c r="AL105" s="2"/>
      <c r="AM105" s="2"/>
      <c r="AN105" s="2" t="s">
        <v>2944</v>
      </c>
      <c r="AO105" s="2" t="s">
        <v>2944</v>
      </c>
      <c r="AP105" s="44"/>
      <c r="AQ105" s="44"/>
      <c r="AR105" s="2"/>
    </row>
    <row r="106" spans="1:44" ht="15" customHeight="1">
      <c r="A106" s="617" t="s">
        <v>0</v>
      </c>
      <c r="B106" s="617" t="s">
        <v>101</v>
      </c>
      <c r="C106" s="618" t="s">
        <v>102</v>
      </c>
      <c r="D106" s="617" t="s">
        <v>1</v>
      </c>
      <c r="E106" s="617" t="s">
        <v>1</v>
      </c>
      <c r="F106" s="617" t="s">
        <v>2</v>
      </c>
      <c r="G106" s="619" t="s">
        <v>100</v>
      </c>
      <c r="H106" s="617" t="s">
        <v>3</v>
      </c>
      <c r="I106" s="617" t="s">
        <v>4</v>
      </c>
      <c r="J106" s="620">
        <v>2020</v>
      </c>
      <c r="K106" s="621" t="s">
        <v>860</v>
      </c>
      <c r="L106" s="622">
        <v>44097</v>
      </c>
      <c r="M106" s="621" t="s">
        <v>861</v>
      </c>
      <c r="N106" s="621" t="s">
        <v>862</v>
      </c>
      <c r="O106" s="621"/>
      <c r="P106" s="617" t="s">
        <v>5</v>
      </c>
      <c r="Q106" s="617" t="s">
        <v>6</v>
      </c>
      <c r="R106" s="724" t="s">
        <v>7</v>
      </c>
      <c r="S106" s="544">
        <v>20</v>
      </c>
      <c r="T106" s="621" t="s">
        <v>169</v>
      </c>
      <c r="U106" s="623" t="s">
        <v>163</v>
      </c>
      <c r="V106" s="621"/>
      <c r="W106" s="621"/>
      <c r="X106" s="621"/>
      <c r="Y106" s="624">
        <v>20</v>
      </c>
      <c r="Z106" s="625"/>
      <c r="AA106" s="621"/>
      <c r="AB106" s="625"/>
      <c r="AC106" s="621"/>
      <c r="AD106" s="621" t="s">
        <v>1118</v>
      </c>
      <c r="AE106" s="621" t="s">
        <v>171</v>
      </c>
      <c r="AF106" s="626" t="s">
        <v>167</v>
      </c>
      <c r="AG106" s="627" t="s">
        <v>167</v>
      </c>
      <c r="AH106" s="627" t="e">
        <v>#VALUE!</v>
      </c>
      <c r="AI106" s="626">
        <v>44236</v>
      </c>
      <c r="AJ106" s="543">
        <f>IF(Table13[[#This Row],[RFC Remark]]="DONE",Table13[[#This Row],[RFC Date]]-Table13[[#This Row],[STIP Date]],$AJ$2-Table13[[#This Row],[STIP Date]])</f>
        <v>139</v>
      </c>
      <c r="AK106" s="621" t="s">
        <v>167</v>
      </c>
      <c r="AL106" s="5" t="str">
        <f>IF(Table13[[#This Row],[Aging RFC]]&lt;=85,"ONTIME","DELAY")</f>
        <v>DELAY</v>
      </c>
      <c r="AM106" s="621"/>
      <c r="AN106" s="621" t="s">
        <v>311</v>
      </c>
      <c r="AO106" s="621" t="s">
        <v>173</v>
      </c>
      <c r="AP106" s="629" t="s">
        <v>2218</v>
      </c>
      <c r="AQ106" s="629"/>
      <c r="AR106" s="621"/>
    </row>
    <row r="107" spans="1:44" ht="15" customHeight="1">
      <c r="A107" s="488" t="s">
        <v>212</v>
      </c>
      <c r="B107" s="488" t="s">
        <v>213</v>
      </c>
      <c r="C107" s="488" t="s">
        <v>214</v>
      </c>
      <c r="D107" s="488" t="s">
        <v>215</v>
      </c>
      <c r="E107" s="488" t="s">
        <v>215</v>
      </c>
      <c r="F107" s="488" t="s">
        <v>2</v>
      </c>
      <c r="G107" s="488" t="s">
        <v>100</v>
      </c>
      <c r="H107" s="488" t="s">
        <v>54</v>
      </c>
      <c r="I107" s="488" t="s">
        <v>216</v>
      </c>
      <c r="J107" s="46">
        <f>L107</f>
        <v>44119</v>
      </c>
      <c r="K107" s="488" t="s">
        <v>217</v>
      </c>
      <c r="L107" s="574">
        <v>44119</v>
      </c>
      <c r="M107" s="488" t="s">
        <v>218</v>
      </c>
      <c r="N107" s="488" t="s">
        <v>219</v>
      </c>
      <c r="O107" s="488"/>
      <c r="P107" s="488" t="s">
        <v>5</v>
      </c>
      <c r="Q107" s="488" t="s">
        <v>6</v>
      </c>
      <c r="R107" s="488" t="s">
        <v>7</v>
      </c>
      <c r="S107" s="751">
        <v>21</v>
      </c>
      <c r="T107" s="49" t="s">
        <v>223</v>
      </c>
      <c r="U107" s="488" t="s">
        <v>165</v>
      </c>
      <c r="V107" s="488"/>
      <c r="W107" s="488"/>
      <c r="X107" s="488"/>
      <c r="Y107" s="488">
        <v>20</v>
      </c>
      <c r="Z107" s="2"/>
      <c r="AA107" s="2"/>
      <c r="AB107" s="2"/>
      <c r="AC107" s="2"/>
      <c r="AD107" s="5" t="s">
        <v>1405</v>
      </c>
      <c r="AE107" s="2" t="s">
        <v>171</v>
      </c>
      <c r="AF107" s="610">
        <v>44180</v>
      </c>
      <c r="AG107" s="52">
        <v>44180</v>
      </c>
      <c r="AH107" s="52">
        <v>44210</v>
      </c>
      <c r="AI107" s="51">
        <v>44214</v>
      </c>
      <c r="AJ107" s="474">
        <f>IF(Table13[[#This Row],[RFC Remark]]="DONE",Table13[[#This Row],[RFC Date]]-Table13[[#This Row],[STIP Date]],$AJ$2-Table13[[#This Row],[STIP Date]])</f>
        <v>95</v>
      </c>
      <c r="AK107" s="49" t="s">
        <v>167</v>
      </c>
      <c r="AL107" s="488"/>
      <c r="AM107" s="49"/>
      <c r="AN107" s="49" t="s">
        <v>311</v>
      </c>
      <c r="AO107" s="49" t="s">
        <v>173</v>
      </c>
      <c r="AP107" s="44" t="s">
        <v>2219</v>
      </c>
      <c r="AQ107" s="611"/>
      <c r="AR107" s="488"/>
    </row>
    <row r="108" spans="1:44" ht="15" customHeight="1">
      <c r="A108" s="4" t="s">
        <v>206</v>
      </c>
      <c r="B108" s="4" t="s">
        <v>410</v>
      </c>
      <c r="C108" s="16" t="s">
        <v>193</v>
      </c>
      <c r="D108" s="4" t="s">
        <v>903</v>
      </c>
      <c r="E108" s="4" t="s">
        <v>903</v>
      </c>
      <c r="F108" s="4" t="s">
        <v>10</v>
      </c>
      <c r="G108" s="4" t="s">
        <v>100</v>
      </c>
      <c r="H108" s="4" t="s">
        <v>54</v>
      </c>
      <c r="I108" s="4" t="s">
        <v>4</v>
      </c>
      <c r="J108" s="741">
        <v>2020</v>
      </c>
      <c r="K108" s="4" t="s">
        <v>904</v>
      </c>
      <c r="L108" s="467">
        <v>44158</v>
      </c>
      <c r="M108" s="468" t="s">
        <v>905</v>
      </c>
      <c r="N108" s="468" t="s">
        <v>906</v>
      </c>
      <c r="O108" s="4"/>
      <c r="P108" s="467" t="s">
        <v>11</v>
      </c>
      <c r="Q108" s="467" t="s">
        <v>53</v>
      </c>
      <c r="R108" s="467" t="s">
        <v>13</v>
      </c>
      <c r="S108" s="63">
        <v>42</v>
      </c>
      <c r="T108" s="4"/>
      <c r="U108" s="4" t="s">
        <v>2908</v>
      </c>
      <c r="V108" s="4"/>
      <c r="W108" s="4"/>
      <c r="X108" s="4"/>
      <c r="Y108" s="4"/>
      <c r="Z108" s="4"/>
      <c r="AA108" s="4"/>
      <c r="AB108" s="4"/>
      <c r="AC108" s="4"/>
      <c r="AD108" s="4" t="s">
        <v>319</v>
      </c>
      <c r="AE108" s="4" t="s">
        <v>171</v>
      </c>
      <c r="AF108" s="30" t="e">
        <f>VLOOKUP(Table13[[#This Row],[SONum]],[2]Worksheet1!$B$1:$Z$59,23,0)</f>
        <v>#N/A</v>
      </c>
      <c r="AG108" s="30" t="e">
        <f>VLOOKUP(Table13[[#This Row],[SONum]],[2]Worksheet1!$B$1:$Z$59,24,0)</f>
        <v>#N/A</v>
      </c>
      <c r="AH108" s="30" t="e">
        <f>VLOOKUP(Table13[[#This Row],[SONum]],[2]Worksheet1!$B$1:$Z$59,25,0)</f>
        <v>#N/A</v>
      </c>
      <c r="AI108" s="468"/>
      <c r="AJ108" s="63">
        <f ca="1">IF(Table13[[#This Row],[RFC Remark]]="DONE",Table13[[#This Row],[RFC Date]]-Table13[[#This Row],[STIP Date]],$AJ$2-Table13[[#This Row],[STIP Date]])</f>
        <v>676</v>
      </c>
      <c r="AK108" s="4"/>
      <c r="AL108" s="5"/>
      <c r="AM108" s="745" t="e">
        <f>_xlfn.DAYS(Table13[[#This Row],[RFC Projection]],Table13[[#This Row],[STIP Date]])</f>
        <v>#N/A</v>
      </c>
      <c r="AN108" s="4" t="s">
        <v>174</v>
      </c>
      <c r="AO108" s="4" t="s">
        <v>2076</v>
      </c>
      <c r="AP108" s="469" t="s">
        <v>2306</v>
      </c>
      <c r="AQ108" s="469" t="s">
        <v>3044</v>
      </c>
      <c r="AR108" s="4" t="s">
        <v>3442</v>
      </c>
    </row>
    <row r="109" spans="1:44" ht="15" hidden="1" customHeight="1">
      <c r="A109" s="619" t="s">
        <v>202</v>
      </c>
      <c r="B109" s="657" t="s">
        <v>1080</v>
      </c>
      <c r="C109" s="631" t="s">
        <v>189</v>
      </c>
      <c r="D109" s="829" t="s">
        <v>887</v>
      </c>
      <c r="E109" s="619" t="s">
        <v>887</v>
      </c>
      <c r="F109" s="619" t="s">
        <v>10</v>
      </c>
      <c r="G109" s="619" t="s">
        <v>100</v>
      </c>
      <c r="H109" s="619" t="s">
        <v>54</v>
      </c>
      <c r="I109" s="619" t="s">
        <v>4</v>
      </c>
      <c r="J109" s="741">
        <v>2020</v>
      </c>
      <c r="K109" s="619" t="s">
        <v>888</v>
      </c>
      <c r="L109" s="650">
        <v>44158</v>
      </c>
      <c r="M109" s="651" t="s">
        <v>889</v>
      </c>
      <c r="N109" s="651" t="s">
        <v>890</v>
      </c>
      <c r="O109" s="619"/>
      <c r="P109" s="650" t="s">
        <v>11</v>
      </c>
      <c r="Q109" s="650" t="s">
        <v>26</v>
      </c>
      <c r="R109" s="650" t="s">
        <v>13</v>
      </c>
      <c r="S109" s="543">
        <v>52</v>
      </c>
      <c r="T109" s="619" t="s">
        <v>594</v>
      </c>
      <c r="U109" s="619" t="s">
        <v>2908</v>
      </c>
      <c r="V109" s="619" t="s">
        <v>314</v>
      </c>
      <c r="W109" s="619">
        <v>-6.6181999999999999</v>
      </c>
      <c r="X109" s="619">
        <v>106.65853</v>
      </c>
      <c r="Y109" s="619">
        <v>52</v>
      </c>
      <c r="Z109" s="649">
        <v>49</v>
      </c>
      <c r="AA109" s="663">
        <v>44173</v>
      </c>
      <c r="AB109" s="619" t="s">
        <v>315</v>
      </c>
      <c r="AC109" s="663">
        <v>44173</v>
      </c>
      <c r="AD109" s="619" t="s">
        <v>319</v>
      </c>
      <c r="AE109" s="830" t="s">
        <v>171</v>
      </c>
      <c r="AF109" s="30" t="e">
        <f>VLOOKUP(Table13[[#This Row],[SONum]],[2]Worksheet1!$B$1:$Z$59,23,0)</f>
        <v>#N/A</v>
      </c>
      <c r="AG109" s="30" t="e">
        <f>VLOOKUP(Table13[[#This Row],[SONum]],[2]Worksheet1!$B$1:$Z$59,23,0)</f>
        <v>#N/A</v>
      </c>
      <c r="AH109" s="30" t="e">
        <f>VLOOKUP(Table13[[#This Row],[SONum]],[2]Worksheet1!$B$1:$Z$59,23,0)</f>
        <v>#N/A</v>
      </c>
      <c r="AI109" s="651"/>
      <c r="AJ109" s="543">
        <f ca="1">IF(Table13[[#This Row],[RFC Remark]]="DONE",Table13[[#This Row],[RFC Date]]-Table13[[#This Row],[STIP Date]],$AJ$2-Table13[[#This Row],[STIP Date]])</f>
        <v>676</v>
      </c>
      <c r="AK109" s="619"/>
      <c r="AL109" s="621"/>
      <c r="AM109" s="5" t="e">
        <f>_xlfn.DAYS(Table13[[#This Row],[RFC Projection]],Table13[[#This Row],[STIP Date]])</f>
        <v>#N/A</v>
      </c>
      <c r="AN109" s="621" t="s">
        <v>2944</v>
      </c>
      <c r="AO109" s="621" t="s">
        <v>2944</v>
      </c>
      <c r="AP109" s="831" t="s">
        <v>2297</v>
      </c>
      <c r="AQ109" s="653" t="s">
        <v>3045</v>
      </c>
      <c r="AR109" s="619"/>
    </row>
    <row r="110" spans="1:44" ht="15" hidden="1" customHeight="1">
      <c r="A110" s="140" t="s">
        <v>304</v>
      </c>
      <c r="B110" s="141" t="s">
        <v>402</v>
      </c>
      <c r="C110" s="141" t="s">
        <v>493</v>
      </c>
      <c r="D110" s="141" t="s">
        <v>866</v>
      </c>
      <c r="E110" s="141" t="s">
        <v>866</v>
      </c>
      <c r="F110" s="141" t="s">
        <v>10</v>
      </c>
      <c r="G110" s="141" t="s">
        <v>100</v>
      </c>
      <c r="H110" s="141" t="s">
        <v>867</v>
      </c>
      <c r="I110" s="141" t="s">
        <v>216</v>
      </c>
      <c r="J110" s="46">
        <f>L110</f>
        <v>44146</v>
      </c>
      <c r="K110" s="141" t="s">
        <v>868</v>
      </c>
      <c r="L110" s="762">
        <v>44146</v>
      </c>
      <c r="M110" s="141" t="s">
        <v>869</v>
      </c>
      <c r="N110" s="141" t="s">
        <v>869</v>
      </c>
      <c r="O110" s="141"/>
      <c r="P110" s="141" t="s">
        <v>11</v>
      </c>
      <c r="Q110" s="141" t="s">
        <v>638</v>
      </c>
      <c r="R110" s="141" t="s">
        <v>13</v>
      </c>
      <c r="S110" s="751">
        <v>21</v>
      </c>
      <c r="T110" s="141" t="s">
        <v>168</v>
      </c>
      <c r="U110" s="141"/>
      <c r="V110" s="141"/>
      <c r="W110" s="141"/>
      <c r="X110" s="141"/>
      <c r="Y110" s="141">
        <v>21</v>
      </c>
      <c r="Z110" s="2"/>
      <c r="AA110" s="2"/>
      <c r="AB110" s="2"/>
      <c r="AC110" s="2"/>
      <c r="AD110" s="2"/>
      <c r="AE110" s="2"/>
      <c r="AF110" s="763">
        <v>44211</v>
      </c>
      <c r="AG110" s="627">
        <v>44211</v>
      </c>
      <c r="AH110" s="627">
        <v>44241</v>
      </c>
      <c r="AI110" s="763"/>
      <c r="AJ110" s="645">
        <f ca="1">IF(Table13[[#This Row],[RFC Remark]]="DONE",Table13[[#This Row],[RFC Date]]-Table13[[#This Row],[STIP Date]],$AJ$2-Table13[[#This Row],[STIP Date]])</f>
        <v>688</v>
      </c>
      <c r="AK110" s="141"/>
      <c r="AL110" s="141"/>
      <c r="AM110" s="141"/>
      <c r="AN110" s="141" t="s">
        <v>313</v>
      </c>
      <c r="AO110" s="141"/>
      <c r="AP110" s="44"/>
      <c r="AQ110" s="764"/>
      <c r="AR110" s="141"/>
    </row>
    <row r="111" spans="1:44" ht="15" customHeight="1">
      <c r="A111" s="5" t="s">
        <v>201</v>
      </c>
      <c r="B111" s="5" t="s">
        <v>406</v>
      </c>
      <c r="C111" s="19" t="s">
        <v>211</v>
      </c>
      <c r="D111" s="5" t="s">
        <v>883</v>
      </c>
      <c r="E111" s="5" t="s">
        <v>883</v>
      </c>
      <c r="F111" s="5" t="s">
        <v>10</v>
      </c>
      <c r="G111" s="5" t="s">
        <v>100</v>
      </c>
      <c r="H111" s="5" t="s">
        <v>54</v>
      </c>
      <c r="I111" s="5" t="s">
        <v>4</v>
      </c>
      <c r="J111" s="47">
        <v>2020</v>
      </c>
      <c r="K111" s="5" t="s">
        <v>884</v>
      </c>
      <c r="L111" s="7">
        <v>44158</v>
      </c>
      <c r="M111" s="7" t="s">
        <v>885</v>
      </c>
      <c r="N111" s="7" t="s">
        <v>886</v>
      </c>
      <c r="O111" s="5" t="s">
        <v>2113</v>
      </c>
      <c r="P111" s="7" t="s">
        <v>11</v>
      </c>
      <c r="Q111" s="7" t="s">
        <v>26</v>
      </c>
      <c r="R111" s="723" t="s">
        <v>13</v>
      </c>
      <c r="S111" s="22">
        <v>52</v>
      </c>
      <c r="T111" s="8" t="s">
        <v>168</v>
      </c>
      <c r="U111" s="5" t="s">
        <v>163</v>
      </c>
      <c r="V111" s="5" t="s">
        <v>316</v>
      </c>
      <c r="W111" s="37">
        <v>-6.5270999999999999</v>
      </c>
      <c r="X111" s="38">
        <v>106.90725999999999</v>
      </c>
      <c r="Y111" s="4">
        <v>52</v>
      </c>
      <c r="Z111" s="4">
        <v>43</v>
      </c>
      <c r="AA111" s="42">
        <v>44167</v>
      </c>
      <c r="AB111" s="4" t="s">
        <v>318</v>
      </c>
      <c r="AC111" s="42">
        <v>44172</v>
      </c>
      <c r="AD111" s="5" t="s">
        <v>319</v>
      </c>
      <c r="AE111" s="5" t="s">
        <v>171</v>
      </c>
      <c r="AF111" s="31" t="s">
        <v>167</v>
      </c>
      <c r="AG111" s="34" t="s">
        <v>167</v>
      </c>
      <c r="AH111" s="34" t="e">
        <v>#VALUE!</v>
      </c>
      <c r="AI111" s="501">
        <v>44220</v>
      </c>
      <c r="AJ111" s="63">
        <f>IF(Table13[[#This Row],[RFC Remark]]="DONE",Table13[[#This Row],[RFC Date]]-Table13[[#This Row],[STIP Date]],$AJ$2-Table13[[#This Row],[STIP Date]])</f>
        <v>62</v>
      </c>
      <c r="AK111" s="5" t="s">
        <v>167</v>
      </c>
      <c r="AL111" s="5" t="str">
        <f>IF(Table13[[#This Row],[Aging RFC]]&lt;=85,"ONTIME","DELAY")</f>
        <v>ONTIME</v>
      </c>
      <c r="AM111" s="5"/>
      <c r="AN111" s="5" t="s">
        <v>311</v>
      </c>
      <c r="AO111" s="5" t="s">
        <v>173</v>
      </c>
      <c r="AP111" s="43" t="s">
        <v>2164</v>
      </c>
      <c r="AQ111" s="43" t="s">
        <v>2106</v>
      </c>
      <c r="AR111" s="5"/>
    </row>
    <row r="112" spans="1:44" ht="15" customHeight="1">
      <c r="A112" s="470" t="s">
        <v>198</v>
      </c>
      <c r="B112" s="470" t="s">
        <v>403</v>
      </c>
      <c r="C112" s="471" t="s">
        <v>186</v>
      </c>
      <c r="D112" s="470" t="s">
        <v>870</v>
      </c>
      <c r="E112" s="470" t="s">
        <v>870</v>
      </c>
      <c r="F112" s="470" t="s">
        <v>10</v>
      </c>
      <c r="G112" s="470" t="s">
        <v>100</v>
      </c>
      <c r="H112" s="470" t="s">
        <v>54</v>
      </c>
      <c r="I112" s="470" t="s">
        <v>4</v>
      </c>
      <c r="J112" s="614">
        <v>2020</v>
      </c>
      <c r="K112" s="470" t="s">
        <v>871</v>
      </c>
      <c r="L112" s="473">
        <v>44158</v>
      </c>
      <c r="M112" s="473" t="s">
        <v>872</v>
      </c>
      <c r="N112" s="473" t="s">
        <v>873</v>
      </c>
      <c r="O112" s="473" t="s">
        <v>2185</v>
      </c>
      <c r="P112" s="473" t="s">
        <v>11</v>
      </c>
      <c r="Q112" s="473" t="s">
        <v>19</v>
      </c>
      <c r="R112" s="473" t="s">
        <v>20</v>
      </c>
      <c r="S112" s="546">
        <v>52</v>
      </c>
      <c r="T112" s="694" t="s">
        <v>2166</v>
      </c>
      <c r="U112" s="470" t="s">
        <v>165</v>
      </c>
      <c r="V112" s="470" t="s">
        <v>1949</v>
      </c>
      <c r="W112" s="696">
        <v>-6.0982200000000004</v>
      </c>
      <c r="X112" s="419">
        <v>106.37063999999999</v>
      </c>
      <c r="Y112" s="470">
        <v>52</v>
      </c>
      <c r="Z112" s="470">
        <v>48</v>
      </c>
      <c r="AA112" s="498">
        <v>44531</v>
      </c>
      <c r="AB112" s="470" t="s">
        <v>317</v>
      </c>
      <c r="AC112" s="498">
        <v>44531</v>
      </c>
      <c r="AD112" s="470" t="s">
        <v>319</v>
      </c>
      <c r="AE112" s="470" t="s">
        <v>171</v>
      </c>
      <c r="AF112" s="51" t="s">
        <v>167</v>
      </c>
      <c r="AG112" s="52" t="s">
        <v>167</v>
      </c>
      <c r="AH112" s="519" t="e">
        <v>#VALUE!</v>
      </c>
      <c r="AI112" s="475">
        <v>44257</v>
      </c>
      <c r="AJ112" s="474">
        <f>IF(Table13[[#This Row],[RFC Remark]]="DONE",Table13[[#This Row],[RFC Date]]-Table13[[#This Row],[STIP Date]],$AJ$2-Table13[[#This Row],[STIP Date]])</f>
        <v>99</v>
      </c>
      <c r="AK112" s="470" t="s">
        <v>167</v>
      </c>
      <c r="AL112" s="5" t="str">
        <f>IF(Table13[[#This Row],[Aging RFC]]&lt;=85,"ONTIME","DELAY")</f>
        <v>DELAY</v>
      </c>
      <c r="AM112" s="49"/>
      <c r="AN112" s="470" t="s">
        <v>311</v>
      </c>
      <c r="AO112" s="470" t="s">
        <v>173</v>
      </c>
      <c r="AP112" s="476" t="s">
        <v>2225</v>
      </c>
      <c r="AQ112" s="476"/>
      <c r="AR112" s="470"/>
    </row>
    <row r="113" spans="1:44" ht="15" customHeight="1">
      <c r="A113" s="4" t="s">
        <v>210</v>
      </c>
      <c r="B113" s="9" t="s">
        <v>414</v>
      </c>
      <c r="C113" s="16" t="s">
        <v>197</v>
      </c>
      <c r="D113" s="4" t="s">
        <v>919</v>
      </c>
      <c r="E113" s="4" t="s">
        <v>919</v>
      </c>
      <c r="F113" s="4" t="s">
        <v>10</v>
      </c>
      <c r="G113" s="4" t="s">
        <v>100</v>
      </c>
      <c r="H113" s="4" t="s">
        <v>54</v>
      </c>
      <c r="I113" s="4" t="s">
        <v>4</v>
      </c>
      <c r="J113" s="466">
        <v>2020</v>
      </c>
      <c r="K113" s="4" t="s">
        <v>920</v>
      </c>
      <c r="L113" s="467">
        <v>44158</v>
      </c>
      <c r="M113" s="467" t="s">
        <v>921</v>
      </c>
      <c r="N113" s="467" t="s">
        <v>922</v>
      </c>
      <c r="O113" s="4" t="s">
        <v>2074</v>
      </c>
      <c r="P113" s="467" t="s">
        <v>11</v>
      </c>
      <c r="Q113" s="467" t="s">
        <v>26</v>
      </c>
      <c r="R113" s="467" t="s">
        <v>13</v>
      </c>
      <c r="S113" s="63">
        <v>42</v>
      </c>
      <c r="T113" s="4" t="s">
        <v>221</v>
      </c>
      <c r="U113" s="4" t="s">
        <v>165</v>
      </c>
      <c r="V113" s="4" t="s">
        <v>323</v>
      </c>
      <c r="W113" s="4">
        <v>-6.3792</v>
      </c>
      <c r="X113" s="4">
        <v>106.65586</v>
      </c>
      <c r="Y113" s="4">
        <v>52</v>
      </c>
      <c r="Z113" s="4">
        <v>45</v>
      </c>
      <c r="AA113" s="42">
        <v>44228</v>
      </c>
      <c r="AB113" s="4" t="s">
        <v>315</v>
      </c>
      <c r="AC113" s="4"/>
      <c r="AD113" s="4" t="s">
        <v>319</v>
      </c>
      <c r="AE113" s="4" t="s">
        <v>171</v>
      </c>
      <c r="AF113" s="31" t="s">
        <v>167</v>
      </c>
      <c r="AG113" s="34" t="s">
        <v>167</v>
      </c>
      <c r="AH113" s="517" t="e">
        <v>#VALUE!</v>
      </c>
      <c r="AI113" s="468">
        <v>44273</v>
      </c>
      <c r="AJ113" s="63">
        <f>IF(Table13[[#This Row],[RFC Remark]]="DONE",Table13[[#This Row],[RFC Date]]-Table13[[#This Row],[STIP Date]],$AJ$2-Table13[[#This Row],[STIP Date]])</f>
        <v>115</v>
      </c>
      <c r="AK113" s="4" t="s">
        <v>167</v>
      </c>
      <c r="AL113" s="5" t="str">
        <f>IF(Table13[[#This Row],[Aging RFC]]&lt;=85,"ONTIME","DELAY")</f>
        <v>DELAY</v>
      </c>
      <c r="AM113" s="5"/>
      <c r="AN113" s="4" t="s">
        <v>311</v>
      </c>
      <c r="AO113" s="4" t="s">
        <v>173</v>
      </c>
      <c r="AP113" s="469" t="s">
        <v>2312</v>
      </c>
      <c r="AQ113" s="469" t="s">
        <v>2296</v>
      </c>
      <c r="AR113" s="4"/>
    </row>
    <row r="114" spans="1:44" ht="15" customHeight="1">
      <c r="A114" s="636" t="s">
        <v>203</v>
      </c>
      <c r="B114" s="636" t="s">
        <v>407</v>
      </c>
      <c r="C114" s="635" t="s">
        <v>190</v>
      </c>
      <c r="D114" s="636" t="s">
        <v>891</v>
      </c>
      <c r="E114" s="636" t="s">
        <v>891</v>
      </c>
      <c r="F114" s="636" t="s">
        <v>10</v>
      </c>
      <c r="G114" s="636" t="s">
        <v>100</v>
      </c>
      <c r="H114" s="636" t="s">
        <v>54</v>
      </c>
      <c r="I114" s="636" t="s">
        <v>4</v>
      </c>
      <c r="J114" s="564">
        <v>2020</v>
      </c>
      <c r="K114" s="636" t="s">
        <v>892</v>
      </c>
      <c r="L114" s="654">
        <v>44158</v>
      </c>
      <c r="M114" s="654" t="s">
        <v>893</v>
      </c>
      <c r="N114" s="654" t="s">
        <v>894</v>
      </c>
      <c r="O114" s="636" t="s">
        <v>2187</v>
      </c>
      <c r="P114" s="654" t="s">
        <v>11</v>
      </c>
      <c r="Q114" s="654" t="s">
        <v>26</v>
      </c>
      <c r="R114" s="654" t="s">
        <v>13</v>
      </c>
      <c r="S114" s="546">
        <v>42</v>
      </c>
      <c r="T114" s="636" t="s">
        <v>221</v>
      </c>
      <c r="U114" s="636" t="s">
        <v>163</v>
      </c>
      <c r="V114" s="636" t="s">
        <v>323</v>
      </c>
      <c r="W114" s="636">
        <v>-6.3899800000000004</v>
      </c>
      <c r="X114" s="636">
        <v>106.69394</v>
      </c>
      <c r="Y114" s="636">
        <v>52</v>
      </c>
      <c r="Z114" s="636">
        <v>45</v>
      </c>
      <c r="AA114" s="647">
        <v>44173</v>
      </c>
      <c r="AB114" s="636" t="s">
        <v>315</v>
      </c>
      <c r="AC114" s="647">
        <v>44173</v>
      </c>
      <c r="AD114" s="636" t="s">
        <v>319</v>
      </c>
      <c r="AE114" s="636" t="s">
        <v>171</v>
      </c>
      <c r="AF114" s="643" t="s">
        <v>167</v>
      </c>
      <c r="AG114" s="644" t="s">
        <v>167</v>
      </c>
      <c r="AH114" s="655" t="e">
        <v>#VALUE!</v>
      </c>
      <c r="AI114" s="656">
        <v>44291</v>
      </c>
      <c r="AJ114" s="546">
        <f>IF(Table13[[#This Row],[RFC Remark]]="DONE",Table13[[#This Row],[RFC Date]]-Table13[[#This Row],[STIP Date]],$AJ$2-Table13[[#This Row],[STIP Date]])</f>
        <v>133</v>
      </c>
      <c r="AK114" s="636" t="s">
        <v>167</v>
      </c>
      <c r="AL114" s="5" t="str">
        <f>IF(Table13[[#This Row],[Aging RFC]]&lt;=85,"ONTIME","DELAY")</f>
        <v>DELAY</v>
      </c>
      <c r="AM114" s="637"/>
      <c r="AN114" s="636" t="s">
        <v>311</v>
      </c>
      <c r="AO114" s="636" t="s">
        <v>173</v>
      </c>
      <c r="AP114" s="481" t="s">
        <v>2334</v>
      </c>
      <c r="AQ114" s="481" t="s">
        <v>2339</v>
      </c>
      <c r="AR114" s="636"/>
    </row>
    <row r="115" spans="1:44" ht="15" customHeight="1">
      <c r="A115" s="4" t="s">
        <v>204</v>
      </c>
      <c r="B115" s="4" t="s">
        <v>408</v>
      </c>
      <c r="C115" s="16" t="s">
        <v>191</v>
      </c>
      <c r="D115" s="4" t="s">
        <v>895</v>
      </c>
      <c r="E115" s="4" t="s">
        <v>895</v>
      </c>
      <c r="F115" s="4" t="s">
        <v>10</v>
      </c>
      <c r="G115" s="4" t="s">
        <v>100</v>
      </c>
      <c r="H115" s="4" t="s">
        <v>54</v>
      </c>
      <c r="I115" s="4" t="s">
        <v>4</v>
      </c>
      <c r="J115" s="466">
        <v>2020</v>
      </c>
      <c r="K115" s="4" t="s">
        <v>896</v>
      </c>
      <c r="L115" s="467">
        <v>44158</v>
      </c>
      <c r="M115" s="468" t="s">
        <v>897</v>
      </c>
      <c r="N115" s="468" t="s">
        <v>898</v>
      </c>
      <c r="O115" s="4" t="s">
        <v>2440</v>
      </c>
      <c r="P115" s="467" t="s">
        <v>11</v>
      </c>
      <c r="Q115" s="467" t="s">
        <v>19</v>
      </c>
      <c r="R115" s="467" t="s">
        <v>20</v>
      </c>
      <c r="S115" s="63">
        <v>42</v>
      </c>
      <c r="T115" s="4" t="s">
        <v>2091</v>
      </c>
      <c r="U115" s="4" t="s">
        <v>165</v>
      </c>
      <c r="V115" s="4" t="s">
        <v>178</v>
      </c>
      <c r="W115" s="4">
        <v>-6.0774100000000004</v>
      </c>
      <c r="X115" s="4">
        <v>106.68402</v>
      </c>
      <c r="Y115" s="4"/>
      <c r="Z115" s="4"/>
      <c r="AA115" s="4"/>
      <c r="AB115" s="4"/>
      <c r="AC115" s="4"/>
      <c r="AD115" s="4" t="s">
        <v>319</v>
      </c>
      <c r="AE115" s="4" t="s">
        <v>171</v>
      </c>
      <c r="AF115" s="31">
        <v>44365</v>
      </c>
      <c r="AG115" s="449">
        <v>44365</v>
      </c>
      <c r="AH115" s="517">
        <v>44395</v>
      </c>
      <c r="AI115" s="468">
        <v>44368</v>
      </c>
      <c r="AJ115" s="63">
        <f>IF(Table13[[#This Row],[RFC Remark]]="DONE",Table13[[#This Row],[RFC Date]]-Table13[[#This Row],[STIP Date]],$AJ$2-Table13[[#This Row],[STIP Date]])</f>
        <v>210</v>
      </c>
      <c r="AK115" s="4" t="s">
        <v>167</v>
      </c>
      <c r="AL115" s="5" t="str">
        <f>IF(Table13[[#This Row],[Aging RFC]]&lt;=85,"ONTIME","DELAY")</f>
        <v>DELAY</v>
      </c>
      <c r="AM115" s="5"/>
      <c r="AN115" s="4" t="s">
        <v>311</v>
      </c>
      <c r="AO115" s="4" t="s">
        <v>173</v>
      </c>
      <c r="AP115" s="469" t="s">
        <v>2441</v>
      </c>
      <c r="AQ115" s="469" t="s">
        <v>2229</v>
      </c>
      <c r="AR115" s="4" t="s">
        <v>2412</v>
      </c>
    </row>
    <row r="116" spans="1:44" ht="15" customHeight="1">
      <c r="A116" s="619" t="s">
        <v>208</v>
      </c>
      <c r="B116" s="657" t="s">
        <v>412</v>
      </c>
      <c r="C116" s="631" t="s">
        <v>195</v>
      </c>
      <c r="D116" s="619" t="s">
        <v>911</v>
      </c>
      <c r="E116" s="619" t="s">
        <v>911</v>
      </c>
      <c r="F116" s="619" t="s">
        <v>10</v>
      </c>
      <c r="G116" s="619" t="s">
        <v>100</v>
      </c>
      <c r="H116" s="619" t="s">
        <v>54</v>
      </c>
      <c r="I116" s="619" t="s">
        <v>4</v>
      </c>
      <c r="J116" s="649">
        <v>2020</v>
      </c>
      <c r="K116" s="619" t="s">
        <v>912</v>
      </c>
      <c r="L116" s="650">
        <v>44158</v>
      </c>
      <c r="M116" s="650" t="s">
        <v>913</v>
      </c>
      <c r="N116" s="650" t="s">
        <v>914</v>
      </c>
      <c r="O116" s="653" t="s">
        <v>2316</v>
      </c>
      <c r="P116" s="650" t="s">
        <v>11</v>
      </c>
      <c r="Q116" s="650" t="s">
        <v>19</v>
      </c>
      <c r="R116" s="650" t="s">
        <v>20</v>
      </c>
      <c r="S116" s="543">
        <v>42</v>
      </c>
      <c r="T116" s="619" t="s">
        <v>222</v>
      </c>
      <c r="U116" s="619" t="s">
        <v>165</v>
      </c>
      <c r="V116" s="619" t="s">
        <v>316</v>
      </c>
      <c r="W116" s="619">
        <v>-6.1077899999999996</v>
      </c>
      <c r="X116" s="619">
        <v>106.64662</v>
      </c>
      <c r="Y116" s="619">
        <v>32</v>
      </c>
      <c r="Z116" s="619"/>
      <c r="AA116" s="619"/>
      <c r="AB116" s="619"/>
      <c r="AC116" s="619"/>
      <c r="AD116" s="619" t="s">
        <v>319</v>
      </c>
      <c r="AE116" s="619" t="s">
        <v>171</v>
      </c>
      <c r="AF116" s="626" t="s">
        <v>167</v>
      </c>
      <c r="AG116" s="627" t="s">
        <v>167</v>
      </c>
      <c r="AH116" s="646" t="e">
        <v>#VALUE!</v>
      </c>
      <c r="AI116" s="651">
        <v>44298</v>
      </c>
      <c r="AJ116" s="543">
        <f>IF(Table13[[#This Row],[RFC Remark]]="DONE",Table13[[#This Row],[RFC Date]]-Table13[[#This Row],[STIP Date]],$AJ$2-Table13[[#This Row],[STIP Date]])</f>
        <v>140</v>
      </c>
      <c r="AK116" s="619" t="s">
        <v>167</v>
      </c>
      <c r="AL116" s="5" t="str">
        <f>IF(Table13[[#This Row],[Aging RFC]]&lt;=85,"ONTIME","DELAY")</f>
        <v>DELAY</v>
      </c>
      <c r="AM116" s="621"/>
      <c r="AN116" s="619" t="s">
        <v>311</v>
      </c>
      <c r="AO116" s="619" t="s">
        <v>173</v>
      </c>
      <c r="AP116" s="653" t="s">
        <v>2335</v>
      </c>
      <c r="AQ116" s="653" t="s">
        <v>2339</v>
      </c>
      <c r="AR116" s="619"/>
    </row>
    <row r="117" spans="1:44" ht="15" customHeight="1">
      <c r="A117" s="4" t="s">
        <v>209</v>
      </c>
      <c r="B117" s="9" t="s">
        <v>413</v>
      </c>
      <c r="C117" s="16" t="s">
        <v>196</v>
      </c>
      <c r="D117" s="4" t="s">
        <v>915</v>
      </c>
      <c r="E117" s="4" t="s">
        <v>915</v>
      </c>
      <c r="F117" s="4" t="s">
        <v>10</v>
      </c>
      <c r="G117" s="4" t="s">
        <v>100</v>
      </c>
      <c r="H117" s="4" t="s">
        <v>54</v>
      </c>
      <c r="I117" s="4" t="s">
        <v>4</v>
      </c>
      <c r="J117" s="466">
        <v>2020</v>
      </c>
      <c r="K117" s="4" t="s">
        <v>916</v>
      </c>
      <c r="L117" s="467">
        <v>44158</v>
      </c>
      <c r="M117" s="468" t="s">
        <v>917</v>
      </c>
      <c r="N117" s="468" t="s">
        <v>918</v>
      </c>
      <c r="O117" s="4" t="s">
        <v>2370</v>
      </c>
      <c r="P117" s="467" t="s">
        <v>5</v>
      </c>
      <c r="Q117" s="467" t="s">
        <v>497</v>
      </c>
      <c r="R117" s="467" t="s">
        <v>13</v>
      </c>
      <c r="S117" s="63">
        <v>42</v>
      </c>
      <c r="T117" s="4" t="s">
        <v>2091</v>
      </c>
      <c r="U117" s="4" t="s">
        <v>165</v>
      </c>
      <c r="V117" s="4" t="s">
        <v>323</v>
      </c>
      <c r="W117" s="4">
        <v>-6.3784200000000002</v>
      </c>
      <c r="X117" s="4">
        <v>106.77542</v>
      </c>
      <c r="Y117" s="4">
        <v>32</v>
      </c>
      <c r="Z117" s="4">
        <v>30.5</v>
      </c>
      <c r="AA117" s="42">
        <v>44173</v>
      </c>
      <c r="AB117" s="4"/>
      <c r="AC117" s="4"/>
      <c r="AD117" s="4" t="s">
        <v>319</v>
      </c>
      <c r="AE117" s="4" t="s">
        <v>171</v>
      </c>
      <c r="AF117" s="31">
        <v>44333</v>
      </c>
      <c r="AG117" s="449">
        <v>44333</v>
      </c>
      <c r="AH117" s="517">
        <v>44363</v>
      </c>
      <c r="AI117" s="468">
        <v>44347</v>
      </c>
      <c r="AJ117" s="63">
        <f>IF(Table13[[#This Row],[RFC Remark]]="DONE",Table13[[#This Row],[RFC Date]]-Table13[[#This Row],[STIP Date]],$AJ$2-Table13[[#This Row],[STIP Date]])</f>
        <v>189</v>
      </c>
      <c r="AK117" s="4" t="s">
        <v>167</v>
      </c>
      <c r="AL117" s="5" t="str">
        <f>IF(Table13[[#This Row],[Aging RFC]]&lt;=85,"ONTIME","DELAY")</f>
        <v>DELAY</v>
      </c>
      <c r="AM117" s="5"/>
      <c r="AN117" s="4" t="s">
        <v>311</v>
      </c>
      <c r="AO117" s="4" t="s">
        <v>173</v>
      </c>
      <c r="AP117" s="469" t="s">
        <v>2256</v>
      </c>
      <c r="AQ117" s="469" t="s">
        <v>2247</v>
      </c>
      <c r="AR117" s="4"/>
    </row>
    <row r="118" spans="1:44" ht="15" customHeight="1">
      <c r="A118" s="4" t="s">
        <v>200</v>
      </c>
      <c r="B118" s="4" t="s">
        <v>405</v>
      </c>
      <c r="C118" s="16" t="s">
        <v>188</v>
      </c>
      <c r="D118" s="4" t="s">
        <v>879</v>
      </c>
      <c r="E118" s="4" t="s">
        <v>879</v>
      </c>
      <c r="F118" s="4" t="s">
        <v>10</v>
      </c>
      <c r="G118" s="4" t="s">
        <v>100</v>
      </c>
      <c r="H118" s="4" t="s">
        <v>54</v>
      </c>
      <c r="I118" s="4" t="s">
        <v>4</v>
      </c>
      <c r="J118" s="742">
        <v>2020</v>
      </c>
      <c r="K118" s="4" t="s">
        <v>880</v>
      </c>
      <c r="L118" s="467">
        <v>44158</v>
      </c>
      <c r="M118" s="467" t="s">
        <v>881</v>
      </c>
      <c r="N118" s="467" t="s">
        <v>882</v>
      </c>
      <c r="O118" s="4" t="s">
        <v>2292</v>
      </c>
      <c r="P118" s="467" t="s">
        <v>11</v>
      </c>
      <c r="Q118" s="467" t="s">
        <v>12</v>
      </c>
      <c r="R118" s="467" t="s">
        <v>13</v>
      </c>
      <c r="S118" s="63">
        <v>52</v>
      </c>
      <c r="T118" s="834" t="s">
        <v>222</v>
      </c>
      <c r="U118" s="4" t="s">
        <v>163</v>
      </c>
      <c r="V118" s="4" t="s">
        <v>323</v>
      </c>
      <c r="W118" s="4">
        <v>-6.8682999999999996</v>
      </c>
      <c r="X118" s="4">
        <v>106.76854</v>
      </c>
      <c r="Y118" s="4">
        <v>52</v>
      </c>
      <c r="Z118" s="4"/>
      <c r="AA118" s="4"/>
      <c r="AB118" s="4"/>
      <c r="AC118" s="4"/>
      <c r="AD118" s="4" t="s">
        <v>319</v>
      </c>
      <c r="AE118" s="4" t="s">
        <v>171</v>
      </c>
      <c r="AF118" s="31" t="e">
        <v>#N/A</v>
      </c>
      <c r="AG118" s="449" t="e">
        <v>#N/A</v>
      </c>
      <c r="AH118" s="517" t="e">
        <v>#N/A</v>
      </c>
      <c r="AI118" s="468">
        <v>44305</v>
      </c>
      <c r="AJ118" s="63">
        <f>IF(Table13[[#This Row],[RFC Remark]]="DONE",Table13[[#This Row],[RFC Date]]-Table13[[#This Row],[STIP Date]],$AJ$2-Table13[[#This Row],[STIP Date]])</f>
        <v>147</v>
      </c>
      <c r="AK118" s="4" t="s">
        <v>167</v>
      </c>
      <c r="AL118" s="5" t="str">
        <f>IF(Table13[[#This Row],[Aging RFC]]&lt;=85,"ONTIME","DELAY")</f>
        <v>DELAY</v>
      </c>
      <c r="AM118" s="744"/>
      <c r="AN118" s="4" t="s">
        <v>311</v>
      </c>
      <c r="AO118" s="4" t="s">
        <v>173</v>
      </c>
      <c r="AP118" s="469" t="s">
        <v>2329</v>
      </c>
      <c r="AQ118" s="469" t="s">
        <v>2339</v>
      </c>
      <c r="AR118" s="4"/>
    </row>
    <row r="119" spans="1:44" ht="15" customHeight="1">
      <c r="A119" s="4" t="s">
        <v>207</v>
      </c>
      <c r="B119" s="4" t="s">
        <v>411</v>
      </c>
      <c r="C119" s="16" t="s">
        <v>194</v>
      </c>
      <c r="D119" s="4" t="s">
        <v>907</v>
      </c>
      <c r="E119" s="4" t="s">
        <v>907</v>
      </c>
      <c r="F119" s="4" t="s">
        <v>10</v>
      </c>
      <c r="G119" s="4" t="s">
        <v>100</v>
      </c>
      <c r="H119" s="4" t="s">
        <v>54</v>
      </c>
      <c r="I119" s="4" t="s">
        <v>4</v>
      </c>
      <c r="J119" s="741">
        <v>2020</v>
      </c>
      <c r="K119" s="4" t="s">
        <v>908</v>
      </c>
      <c r="L119" s="467">
        <v>44158</v>
      </c>
      <c r="M119" s="468" t="s">
        <v>909</v>
      </c>
      <c r="N119" s="468" t="s">
        <v>910</v>
      </c>
      <c r="O119" s="4" t="s">
        <v>3319</v>
      </c>
      <c r="P119" s="467" t="s">
        <v>5</v>
      </c>
      <c r="Q119" s="467" t="s">
        <v>21</v>
      </c>
      <c r="R119" s="467" t="s">
        <v>20</v>
      </c>
      <c r="S119" s="63">
        <v>42</v>
      </c>
      <c r="T119" s="4" t="s">
        <v>3177</v>
      </c>
      <c r="U119" s="4" t="s">
        <v>2909</v>
      </c>
      <c r="V119" s="4" t="s">
        <v>178</v>
      </c>
      <c r="W119" s="5">
        <v>-6.1679000000000004</v>
      </c>
      <c r="X119" s="4">
        <v>106.59617</v>
      </c>
      <c r="Y119" s="4">
        <v>42</v>
      </c>
      <c r="Z119" s="4"/>
      <c r="AA119" s="42"/>
      <c r="AB119" s="4"/>
      <c r="AC119" s="4"/>
      <c r="AD119" s="4" t="s">
        <v>319</v>
      </c>
      <c r="AE119" s="4" t="s">
        <v>171</v>
      </c>
      <c r="AF119" s="30" t="e">
        <f>VLOOKUP(Table13[[#This Row],[SONum]],[2]Worksheet1!$B$1:$Z$59,23,0)</f>
        <v>#N/A</v>
      </c>
      <c r="AG119" s="30" t="e">
        <f>VLOOKUP(Table13[[#This Row],[SONum]],[2]Worksheet1!$B$1:$Z$59,24,0)</f>
        <v>#N/A</v>
      </c>
      <c r="AH119" s="30" t="e">
        <f>VLOOKUP(Table13[[#This Row],[SONum]],[2]Worksheet1!$B$1:$Z$59,25,0)</f>
        <v>#N/A</v>
      </c>
      <c r="AI119" s="468">
        <v>44559</v>
      </c>
      <c r="AJ119" s="63">
        <f>IF(Table13[[#This Row],[RFC Remark]]="DONE",Table13[[#This Row],[RFC Date]]-Table13[[#This Row],[STIP Date]],$AJ$2-Table13[[#This Row],[STIP Date]])</f>
        <v>401</v>
      </c>
      <c r="AK119" s="4" t="s">
        <v>167</v>
      </c>
      <c r="AL119" s="5"/>
      <c r="AM119" s="745" t="e">
        <f>_xlfn.DAYS(Table13[[#This Row],[RFC Projection]],Table13[[#This Row],[STIP Date]])</f>
        <v>#N/A</v>
      </c>
      <c r="AN119" s="4" t="s">
        <v>311</v>
      </c>
      <c r="AO119" s="4" t="s">
        <v>173</v>
      </c>
      <c r="AP119" s="469" t="s">
        <v>2165</v>
      </c>
      <c r="AQ119" s="469" t="s">
        <v>3046</v>
      </c>
      <c r="AR119" s="4"/>
    </row>
    <row r="120" spans="1:44" ht="15" customHeight="1">
      <c r="A120" s="636" t="s">
        <v>205</v>
      </c>
      <c r="B120" s="636" t="s">
        <v>409</v>
      </c>
      <c r="C120" s="635" t="s">
        <v>192</v>
      </c>
      <c r="D120" s="636" t="s">
        <v>899</v>
      </c>
      <c r="E120" s="636" t="s">
        <v>899</v>
      </c>
      <c r="F120" s="636" t="s">
        <v>10</v>
      </c>
      <c r="G120" s="636" t="s">
        <v>100</v>
      </c>
      <c r="H120" s="636" t="s">
        <v>54</v>
      </c>
      <c r="I120" s="636" t="s">
        <v>4</v>
      </c>
      <c r="J120" s="564">
        <v>2020</v>
      </c>
      <c r="K120" s="636" t="s">
        <v>900</v>
      </c>
      <c r="L120" s="654">
        <v>44158</v>
      </c>
      <c r="M120" s="656" t="s">
        <v>901</v>
      </c>
      <c r="N120" s="656" t="s">
        <v>902</v>
      </c>
      <c r="O120" s="636" t="s">
        <v>2456</v>
      </c>
      <c r="P120" s="654" t="s">
        <v>11</v>
      </c>
      <c r="Q120" s="654" t="s">
        <v>19</v>
      </c>
      <c r="R120" s="654" t="s">
        <v>20</v>
      </c>
      <c r="S120" s="546">
        <v>42</v>
      </c>
      <c r="T120" s="636" t="s">
        <v>221</v>
      </c>
      <c r="U120" s="636" t="s">
        <v>165</v>
      </c>
      <c r="V120" s="636" t="s">
        <v>178</v>
      </c>
      <c r="W120" s="636">
        <v>-6.2440600000000002</v>
      </c>
      <c r="X120" s="636">
        <v>106.48057</v>
      </c>
      <c r="Y120" s="636">
        <v>52</v>
      </c>
      <c r="Z120" s="636">
        <v>40</v>
      </c>
      <c r="AA120" s="647">
        <v>44173</v>
      </c>
      <c r="AB120" s="636" t="s">
        <v>315</v>
      </c>
      <c r="AC120" s="647">
        <v>44173</v>
      </c>
      <c r="AD120" s="636" t="s">
        <v>319</v>
      </c>
      <c r="AE120" s="636" t="s">
        <v>171</v>
      </c>
      <c r="AF120" s="643">
        <v>44392</v>
      </c>
      <c r="AG120" s="668">
        <v>44392</v>
      </c>
      <c r="AH120" s="655">
        <v>44422</v>
      </c>
      <c r="AI120" s="656">
        <v>44389</v>
      </c>
      <c r="AJ120" s="546">
        <f>IF(Table13[[#This Row],[RFC Remark]]="DONE",Table13[[#This Row],[RFC Date]]-Table13[[#This Row],[STIP Date]],$AJ$2-Table13[[#This Row],[STIP Date]])</f>
        <v>231</v>
      </c>
      <c r="AK120" s="636" t="s">
        <v>167</v>
      </c>
      <c r="AL120" s="5" t="str">
        <f>IF(Table13[[#This Row],[Aging RFC]]&lt;=85,"ONTIME","DELAY")</f>
        <v>DELAY</v>
      </c>
      <c r="AM120" s="637"/>
      <c r="AN120" s="636" t="s">
        <v>311</v>
      </c>
      <c r="AO120" s="636" t="s">
        <v>173</v>
      </c>
      <c r="AP120" s="481" t="s">
        <v>2461</v>
      </c>
      <c r="AQ120" s="481" t="s">
        <v>2229</v>
      </c>
      <c r="AR120" s="636" t="s">
        <v>2412</v>
      </c>
    </row>
    <row r="121" spans="1:44" ht="15" customHeight="1">
      <c r="A121" s="5" t="s">
        <v>199</v>
      </c>
      <c r="B121" s="5" t="s">
        <v>404</v>
      </c>
      <c r="C121" s="19" t="s">
        <v>187</v>
      </c>
      <c r="D121" s="5" t="s">
        <v>874</v>
      </c>
      <c r="E121" s="5" t="s">
        <v>874</v>
      </c>
      <c r="F121" s="5" t="s">
        <v>10</v>
      </c>
      <c r="G121" s="5" t="s">
        <v>100</v>
      </c>
      <c r="H121" s="5" t="s">
        <v>54</v>
      </c>
      <c r="I121" s="5" t="s">
        <v>4</v>
      </c>
      <c r="J121" s="47">
        <v>2020</v>
      </c>
      <c r="K121" s="5" t="s">
        <v>875</v>
      </c>
      <c r="L121" s="7">
        <v>44158</v>
      </c>
      <c r="M121" s="7" t="s">
        <v>876</v>
      </c>
      <c r="N121" s="7" t="s">
        <v>877</v>
      </c>
      <c r="O121" s="5" t="s">
        <v>2071</v>
      </c>
      <c r="P121" s="7" t="s">
        <v>11</v>
      </c>
      <c r="Q121" s="7" t="s">
        <v>878</v>
      </c>
      <c r="R121" s="7" t="s">
        <v>20</v>
      </c>
      <c r="S121" s="22">
        <v>52</v>
      </c>
      <c r="T121" s="8" t="s">
        <v>168</v>
      </c>
      <c r="U121" s="5" t="s">
        <v>165</v>
      </c>
      <c r="V121" s="5" t="s">
        <v>179</v>
      </c>
      <c r="W121" s="38">
        <v>-6.1811499999999997</v>
      </c>
      <c r="X121" s="38">
        <v>106.22681</v>
      </c>
      <c r="Y121" s="4">
        <v>52</v>
      </c>
      <c r="Z121" s="4">
        <v>44</v>
      </c>
      <c r="AA121" s="42">
        <v>44187</v>
      </c>
      <c r="AB121" s="4" t="s">
        <v>315</v>
      </c>
      <c r="AC121" s="42">
        <v>44187</v>
      </c>
      <c r="AD121" s="5" t="s">
        <v>319</v>
      </c>
      <c r="AE121" s="5" t="s">
        <v>171</v>
      </c>
      <c r="AF121" s="31" t="s">
        <v>167</v>
      </c>
      <c r="AG121" s="34" t="s">
        <v>167</v>
      </c>
      <c r="AH121" s="34" t="e">
        <v>#VALUE!</v>
      </c>
      <c r="AI121" s="31">
        <v>44210</v>
      </c>
      <c r="AJ121" s="63">
        <f>IF(Table13[[#This Row],[RFC Remark]]="DONE",Table13[[#This Row],[RFC Date]]-Table13[[#This Row],[STIP Date]],$AJ$2-Table13[[#This Row],[STIP Date]])</f>
        <v>52</v>
      </c>
      <c r="AK121" s="5" t="s">
        <v>167</v>
      </c>
      <c r="AL121" s="5" t="str">
        <f>IF(Table13[[#This Row],[Aging RFC]]&lt;=85,"ONTIME","DELAY")</f>
        <v>ONTIME</v>
      </c>
      <c r="AM121" s="5"/>
      <c r="AN121" s="5" t="s">
        <v>311</v>
      </c>
      <c r="AO121" s="5" t="s">
        <v>173</v>
      </c>
      <c r="AP121" s="43" t="s">
        <v>2130</v>
      </c>
      <c r="AQ121" s="43" t="s">
        <v>2105</v>
      </c>
      <c r="AR121" s="5"/>
    </row>
    <row r="122" spans="1:44" ht="15" customHeight="1">
      <c r="A122" s="752" t="s">
        <v>55</v>
      </c>
      <c r="B122" s="636" t="s">
        <v>141</v>
      </c>
      <c r="C122" s="635" t="s">
        <v>142</v>
      </c>
      <c r="D122" s="753" t="s">
        <v>56</v>
      </c>
      <c r="E122" s="636" t="s">
        <v>56</v>
      </c>
      <c r="F122" s="636" t="s">
        <v>10</v>
      </c>
      <c r="G122" s="636" t="s">
        <v>100</v>
      </c>
      <c r="H122" s="636" t="s">
        <v>54</v>
      </c>
      <c r="I122" s="636" t="s">
        <v>4</v>
      </c>
      <c r="J122" s="649">
        <v>2020</v>
      </c>
      <c r="K122" s="636" t="s">
        <v>515</v>
      </c>
      <c r="L122" s="654">
        <v>44165</v>
      </c>
      <c r="M122" s="636" t="s">
        <v>516</v>
      </c>
      <c r="N122" s="636">
        <v>106.67238999999999</v>
      </c>
      <c r="O122" s="636" t="s">
        <v>2186</v>
      </c>
      <c r="P122" s="636" t="s">
        <v>5</v>
      </c>
      <c r="Q122" s="636" t="s">
        <v>21</v>
      </c>
      <c r="R122" s="636" t="s">
        <v>20</v>
      </c>
      <c r="S122" s="546">
        <v>25</v>
      </c>
      <c r="T122" s="636" t="s">
        <v>222</v>
      </c>
      <c r="U122" s="636" t="s">
        <v>163</v>
      </c>
      <c r="V122" s="636"/>
      <c r="W122" s="636">
        <v>-6.1821700000000002</v>
      </c>
      <c r="X122" s="636">
        <v>106.67230000000001</v>
      </c>
      <c r="Y122" s="636">
        <v>32</v>
      </c>
      <c r="Z122" s="619"/>
      <c r="AA122" s="619"/>
      <c r="AB122" s="619"/>
      <c r="AC122" s="619"/>
      <c r="AD122" s="619" t="s">
        <v>319</v>
      </c>
      <c r="AE122" s="619" t="s">
        <v>171</v>
      </c>
      <c r="AF122" s="643" t="s">
        <v>167</v>
      </c>
      <c r="AG122" s="644" t="s">
        <v>167</v>
      </c>
      <c r="AH122" s="655" t="e">
        <v>#VALUE!</v>
      </c>
      <c r="AI122" s="656">
        <v>44281</v>
      </c>
      <c r="AJ122" s="546">
        <f>IF(Table13[[#This Row],[RFC Remark]]="DONE",Table13[[#This Row],[RFC Date]]-Table13[[#This Row],[STIP Date]],$AJ$2-Table13[[#This Row],[STIP Date]])</f>
        <v>116</v>
      </c>
      <c r="AK122" s="636" t="s">
        <v>167</v>
      </c>
      <c r="AL122" s="5" t="str">
        <f>IF(Table13[[#This Row],[Aging RFC]]&lt;=85,"ONTIME","DELAY")</f>
        <v>DELAY</v>
      </c>
      <c r="AM122" s="637"/>
      <c r="AN122" s="739" t="s">
        <v>311</v>
      </c>
      <c r="AO122" s="636" t="s">
        <v>173</v>
      </c>
      <c r="AP122" s="653" t="s">
        <v>2304</v>
      </c>
      <c r="AQ122" s="481" t="s">
        <v>2328</v>
      </c>
      <c r="AR122" s="636"/>
    </row>
    <row r="123" spans="1:44" ht="15" hidden="1" customHeight="1">
      <c r="A123" s="4" t="s">
        <v>932</v>
      </c>
      <c r="B123" s="25" t="s">
        <v>934</v>
      </c>
      <c r="C123" s="25" t="s">
        <v>2160</v>
      </c>
      <c r="D123" s="36" t="s">
        <v>935</v>
      </c>
      <c r="E123" s="25" t="s">
        <v>935</v>
      </c>
      <c r="F123" s="25" t="s">
        <v>10</v>
      </c>
      <c r="G123" s="25" t="s">
        <v>100</v>
      </c>
      <c r="H123" s="25" t="s">
        <v>54</v>
      </c>
      <c r="I123" s="25" t="s">
        <v>4</v>
      </c>
      <c r="J123" s="742">
        <v>2020</v>
      </c>
      <c r="K123" s="25" t="s">
        <v>938</v>
      </c>
      <c r="L123" s="740">
        <v>44173</v>
      </c>
      <c r="M123" s="590">
        <v>-6.5403039999999999</v>
      </c>
      <c r="N123" s="590">
        <v>106.814931</v>
      </c>
      <c r="O123" s="4"/>
      <c r="P123" s="25" t="s">
        <v>11</v>
      </c>
      <c r="Q123" s="25" t="s">
        <v>659</v>
      </c>
      <c r="R123" s="25" t="s">
        <v>13</v>
      </c>
      <c r="S123" s="398">
        <v>42</v>
      </c>
      <c r="T123" s="5"/>
      <c r="U123" s="4" t="s">
        <v>2908</v>
      </c>
      <c r="V123" s="4"/>
      <c r="W123" s="4"/>
      <c r="X123" s="4"/>
      <c r="Y123" s="4"/>
      <c r="Z123" s="614"/>
      <c r="AA123" s="4"/>
      <c r="AB123" s="477"/>
      <c r="AC123" s="470"/>
      <c r="AD123" s="470"/>
      <c r="AE123" s="743"/>
      <c r="AF123" s="30" t="e">
        <f>VLOOKUP(Table13[[#This Row],[SONum]],[2]Worksheet1!$B$1:$Z$59,23,0)</f>
        <v>#N/A</v>
      </c>
      <c r="AG123" s="30" t="e">
        <f>VLOOKUP(Table13[[#This Row],[SONum]],[2]Worksheet1!$B$1:$Z$59,23,0)</f>
        <v>#N/A</v>
      </c>
      <c r="AH123" s="30" t="e">
        <f>VLOOKUP(Table13[[#This Row],[SONum]],[2]Worksheet1!$B$1:$Z$59,23,0)</f>
        <v>#N/A</v>
      </c>
      <c r="AI123" s="468"/>
      <c r="AJ123" s="63">
        <f ca="1">IF(Table13[[#This Row],[RFC Remark]]="DONE",Table13[[#This Row],[RFC Date]]-Table13[[#This Row],[STIP Date]],$AJ$2-Table13[[#This Row],[STIP Date]])</f>
        <v>661</v>
      </c>
      <c r="AK123" s="4"/>
      <c r="AL123" s="5"/>
      <c r="AM123" s="5" t="e">
        <f>_xlfn.DAYS(Table13[[#This Row],[RFC Projection]],Table13[[#This Row],[STIP Date]])</f>
        <v>#N/A</v>
      </c>
      <c r="AN123" s="5" t="s">
        <v>2944</v>
      </c>
      <c r="AO123" s="5" t="s">
        <v>2944</v>
      </c>
      <c r="AP123" s="747" t="s">
        <v>2437</v>
      </c>
      <c r="AQ123" s="469" t="s">
        <v>3047</v>
      </c>
      <c r="AR123" s="4"/>
    </row>
    <row r="124" spans="1:44" ht="15" customHeight="1">
      <c r="A124" s="636" t="s">
        <v>933</v>
      </c>
      <c r="B124" s="660" t="s">
        <v>936</v>
      </c>
      <c r="C124" s="660" t="s">
        <v>2159</v>
      </c>
      <c r="D124" s="660" t="s">
        <v>937</v>
      </c>
      <c r="E124" s="660" t="s">
        <v>937</v>
      </c>
      <c r="F124" s="660" t="s">
        <v>10</v>
      </c>
      <c r="G124" s="660" t="s">
        <v>100</v>
      </c>
      <c r="H124" s="660" t="s">
        <v>54</v>
      </c>
      <c r="I124" s="660" t="s">
        <v>4</v>
      </c>
      <c r="J124" s="472">
        <v>2020</v>
      </c>
      <c r="K124" s="660" t="s">
        <v>939</v>
      </c>
      <c r="L124" s="765">
        <v>44173</v>
      </c>
      <c r="M124" s="660" t="s">
        <v>940</v>
      </c>
      <c r="N124" s="660" t="s">
        <v>941</v>
      </c>
      <c r="O124" s="636" t="s">
        <v>2223</v>
      </c>
      <c r="P124" s="660" t="s">
        <v>11</v>
      </c>
      <c r="Q124" s="660" t="s">
        <v>26</v>
      </c>
      <c r="R124" s="660" t="s">
        <v>13</v>
      </c>
      <c r="S124" s="692">
        <v>52</v>
      </c>
      <c r="T124" s="636" t="s">
        <v>221</v>
      </c>
      <c r="U124" s="636" t="s">
        <v>163</v>
      </c>
      <c r="V124" s="636" t="s">
        <v>314</v>
      </c>
      <c r="W124" s="619">
        <v>-6.5859699999999997</v>
      </c>
      <c r="X124" s="619">
        <v>106.66284</v>
      </c>
      <c r="Y124" s="766">
        <v>62</v>
      </c>
      <c r="Z124" s="470">
        <v>55</v>
      </c>
      <c r="AA124" s="498">
        <v>44230</v>
      </c>
      <c r="AB124" s="477" t="s">
        <v>2222</v>
      </c>
      <c r="AC124" s="498">
        <v>44230</v>
      </c>
      <c r="AD124" s="470" t="s">
        <v>319</v>
      </c>
      <c r="AE124" s="470" t="s">
        <v>171</v>
      </c>
      <c r="AF124" s="626" t="s">
        <v>167</v>
      </c>
      <c r="AG124" s="627" t="s">
        <v>167</v>
      </c>
      <c r="AH124" s="655" t="e">
        <v>#VALUE!</v>
      </c>
      <c r="AI124" s="656">
        <v>44270</v>
      </c>
      <c r="AJ124" s="543">
        <f>IF(Table13[[#This Row],[RFC Remark]]="DONE",Table13[[#This Row],[RFC Date]]-Table13[[#This Row],[STIP Date]],$AJ$2-Table13[[#This Row],[STIP Date]])</f>
        <v>97</v>
      </c>
      <c r="AK124" s="636" t="s">
        <v>167</v>
      </c>
      <c r="AL124" s="5" t="str">
        <f>IF(Table13[[#This Row],[Aging RFC]]&lt;=85,"ONTIME","DELAY")</f>
        <v>DELAY</v>
      </c>
      <c r="AM124" s="637"/>
      <c r="AN124" s="636" t="s">
        <v>311</v>
      </c>
      <c r="AO124" s="636" t="s">
        <v>173</v>
      </c>
      <c r="AP124" s="476" t="s">
        <v>2313</v>
      </c>
      <c r="AQ124" s="481"/>
      <c r="AR124" s="636"/>
    </row>
    <row r="125" spans="1:44" ht="15" customHeight="1">
      <c r="A125" s="57" t="s">
        <v>924</v>
      </c>
      <c r="B125" s="59">
        <v>1129561003</v>
      </c>
      <c r="C125" s="59" t="s">
        <v>926</v>
      </c>
      <c r="D125" s="59" t="s">
        <v>927</v>
      </c>
      <c r="E125" s="59" t="s">
        <v>927</v>
      </c>
      <c r="F125" s="59" t="s">
        <v>2</v>
      </c>
      <c r="G125" s="59" t="s">
        <v>100</v>
      </c>
      <c r="H125" s="59" t="s">
        <v>16</v>
      </c>
      <c r="I125" s="59" t="s">
        <v>4</v>
      </c>
      <c r="J125" s="48">
        <v>2020</v>
      </c>
      <c r="K125" s="59" t="s">
        <v>928</v>
      </c>
      <c r="L125" s="60">
        <v>44173</v>
      </c>
      <c r="M125" s="59" t="s">
        <v>929</v>
      </c>
      <c r="N125" s="59" t="s">
        <v>930</v>
      </c>
      <c r="O125" s="49"/>
      <c r="P125" s="59" t="s">
        <v>5</v>
      </c>
      <c r="Q125" s="59" t="s">
        <v>6</v>
      </c>
      <c r="R125" s="59" t="s">
        <v>7</v>
      </c>
      <c r="S125" s="726">
        <v>20</v>
      </c>
      <c r="T125" s="49" t="s">
        <v>169</v>
      </c>
      <c r="U125" s="49" t="s">
        <v>165</v>
      </c>
      <c r="V125" s="49" t="s">
        <v>178</v>
      </c>
      <c r="W125" s="679">
        <v>-6.10168</v>
      </c>
      <c r="X125" s="679">
        <v>106.71572</v>
      </c>
      <c r="Y125" s="488">
        <v>20</v>
      </c>
      <c r="Z125" s="49"/>
      <c r="AA125" s="49"/>
      <c r="AB125" s="58"/>
      <c r="AC125" s="49"/>
      <c r="AD125" s="49"/>
      <c r="AE125" s="49"/>
      <c r="AF125" s="31" t="s">
        <v>167</v>
      </c>
      <c r="AG125" s="34" t="s">
        <v>167</v>
      </c>
      <c r="AH125" s="52" t="e">
        <v>#VALUE!</v>
      </c>
      <c r="AI125" s="51">
        <v>44204</v>
      </c>
      <c r="AJ125" s="63">
        <f>IF(Table13[[#This Row],[RFC Remark]]="DONE",Table13[[#This Row],[RFC Date]]-Table13[[#This Row],[STIP Date]],$AJ$2-Table13[[#This Row],[STIP Date]])</f>
        <v>31</v>
      </c>
      <c r="AK125" s="5" t="s">
        <v>167</v>
      </c>
      <c r="AL125" s="5" t="str">
        <f>IF(Table13[[#This Row],[Aging RFC]]&lt;=85,"ONTIME","DELAY")</f>
        <v>ONTIME</v>
      </c>
      <c r="AM125" s="49"/>
      <c r="AN125" s="49" t="s">
        <v>311</v>
      </c>
      <c r="AO125" s="49" t="s">
        <v>173</v>
      </c>
      <c r="AP125" s="53" t="s">
        <v>2101</v>
      </c>
      <c r="AQ125" s="53" t="s">
        <v>2107</v>
      </c>
      <c r="AR125" s="49"/>
    </row>
    <row r="126" spans="1:44" ht="15" customHeight="1">
      <c r="A126" s="684" t="s">
        <v>2309</v>
      </c>
      <c r="B126" s="680">
        <v>1264091023</v>
      </c>
      <c r="C126" s="703" t="s">
        <v>2080</v>
      </c>
      <c r="D126" s="680" t="s">
        <v>2084</v>
      </c>
      <c r="E126" s="680" t="s">
        <v>2084</v>
      </c>
      <c r="F126" s="601" t="s">
        <v>10</v>
      </c>
      <c r="G126" s="601" t="s">
        <v>100</v>
      </c>
      <c r="H126" s="601" t="s">
        <v>54</v>
      </c>
      <c r="I126" s="601" t="s">
        <v>4</v>
      </c>
      <c r="J126" s="614">
        <v>2020</v>
      </c>
      <c r="K126" s="682"/>
      <c r="L126" s="687">
        <v>44195</v>
      </c>
      <c r="M126" s="716">
        <v>-6.5819799999999997</v>
      </c>
      <c r="N126" s="716">
        <v>106.629476</v>
      </c>
      <c r="O126" s="415" t="s">
        <v>2540</v>
      </c>
      <c r="P126" s="601" t="s">
        <v>11</v>
      </c>
      <c r="Q126" s="601" t="s">
        <v>26</v>
      </c>
      <c r="R126" s="615" t="s">
        <v>13</v>
      </c>
      <c r="S126" s="602">
        <v>52</v>
      </c>
      <c r="T126" s="470" t="s">
        <v>221</v>
      </c>
      <c r="U126" s="470" t="s">
        <v>163</v>
      </c>
      <c r="V126" s="470" t="s">
        <v>323</v>
      </c>
      <c r="W126" s="484">
        <v>-6.5833399999999997</v>
      </c>
      <c r="X126" s="484">
        <v>106.63543</v>
      </c>
      <c r="Y126" s="470" t="s">
        <v>2539</v>
      </c>
      <c r="Z126" s="49"/>
      <c r="AA126" s="49"/>
      <c r="AB126" s="477"/>
      <c r="AC126" s="470"/>
      <c r="AD126" s="470"/>
      <c r="AE126" s="470"/>
      <c r="AF126" s="51">
        <v>44413</v>
      </c>
      <c r="AG126" s="450" t="s">
        <v>2589</v>
      </c>
      <c r="AH126" s="519">
        <v>44438</v>
      </c>
      <c r="AI126" s="475">
        <v>44413</v>
      </c>
      <c r="AJ126" s="474">
        <f>IF(Table13[[#This Row],[RFC Remark]]="DONE",Table13[[#This Row],[RFC Date]]-Table13[[#This Row],[STIP Date]],$AJ$2-Table13[[#This Row],[STIP Date]])</f>
        <v>218</v>
      </c>
      <c r="AK126" s="470" t="s">
        <v>167</v>
      </c>
      <c r="AL126" s="5" t="str">
        <f>IF(Table13[[#This Row],[Aging RFC]]&lt;=85,"ONTIME","DELAY")</f>
        <v>DELAY</v>
      </c>
      <c r="AM126" s="49">
        <f>_xlfn.DAYS(Table13[[#This Row],[RFC Projection]],Table13[[#This Row],[STIP Date]])</f>
        <v>218</v>
      </c>
      <c r="AN126" s="470" t="s">
        <v>311</v>
      </c>
      <c r="AO126" s="470" t="s">
        <v>173</v>
      </c>
      <c r="AP126" s="476" t="s">
        <v>2566</v>
      </c>
      <c r="AQ126" s="476"/>
      <c r="AR126" s="470" t="s">
        <v>2413</v>
      </c>
    </row>
    <row r="127" spans="1:44" ht="15" customHeight="1">
      <c r="A127" s="421" t="s">
        <v>2117</v>
      </c>
      <c r="B127" s="396">
        <v>1264121023</v>
      </c>
      <c r="C127" s="411" t="s">
        <v>2083</v>
      </c>
      <c r="D127" s="396" t="s">
        <v>2087</v>
      </c>
      <c r="E127" s="396" t="s">
        <v>2087</v>
      </c>
      <c r="F127" s="25" t="s">
        <v>10</v>
      </c>
      <c r="G127" s="25" t="s">
        <v>100</v>
      </c>
      <c r="H127" s="25" t="s">
        <v>54</v>
      </c>
      <c r="I127" s="25" t="s">
        <v>4</v>
      </c>
      <c r="J127" s="466">
        <v>2020</v>
      </c>
      <c r="K127" s="4"/>
      <c r="L127" s="467">
        <v>44195</v>
      </c>
      <c r="M127" s="413">
        <v>-6.3789730000000002</v>
      </c>
      <c r="N127" s="413">
        <v>106.55484300000001</v>
      </c>
      <c r="O127" s="412" t="s">
        <v>2302</v>
      </c>
      <c r="P127" s="25" t="s">
        <v>11</v>
      </c>
      <c r="Q127" s="25" t="s">
        <v>26</v>
      </c>
      <c r="R127" s="25" t="s">
        <v>13</v>
      </c>
      <c r="S127" s="398">
        <v>62</v>
      </c>
      <c r="T127" s="4" t="s">
        <v>177</v>
      </c>
      <c r="U127" s="4" t="s">
        <v>163</v>
      </c>
      <c r="V127" s="556" t="s">
        <v>179</v>
      </c>
      <c r="W127" s="556">
        <v>-6.37906</v>
      </c>
      <c r="X127" s="556">
        <v>106.55474</v>
      </c>
      <c r="Y127" s="5">
        <v>62</v>
      </c>
      <c r="Z127" s="4"/>
      <c r="AA127" s="4"/>
      <c r="AB127" s="479"/>
      <c r="AC127" s="4"/>
      <c r="AD127" s="4"/>
      <c r="AE127" s="4"/>
      <c r="AF127" s="31">
        <v>44330</v>
      </c>
      <c r="AG127" s="449">
        <v>44330</v>
      </c>
      <c r="AH127" s="517">
        <v>44360</v>
      </c>
      <c r="AI127" s="468">
        <v>44321</v>
      </c>
      <c r="AJ127" s="63">
        <f>IF(Table13[[#This Row],[RFC Remark]]="DONE",Table13[[#This Row],[RFC Date]]-Table13[[#This Row],[STIP Date]],$AJ$2-Table13[[#This Row],[STIP Date]])</f>
        <v>126</v>
      </c>
      <c r="AK127" s="4" t="s">
        <v>167</v>
      </c>
      <c r="AL127" s="5" t="str">
        <f>IF(Table13[[#This Row],[Aging RFC]]&lt;=85,"ONTIME","DELAY")</f>
        <v>DELAY</v>
      </c>
      <c r="AM127" s="5"/>
      <c r="AN127" s="4" t="s">
        <v>311</v>
      </c>
      <c r="AO127" s="4" t="s">
        <v>173</v>
      </c>
      <c r="AP127" s="469" t="s">
        <v>2336</v>
      </c>
      <c r="AQ127" s="469" t="s">
        <v>2340</v>
      </c>
      <c r="AR127" s="4"/>
    </row>
    <row r="128" spans="1:44" ht="15" customHeight="1">
      <c r="A128" s="658" t="s">
        <v>2115</v>
      </c>
      <c r="B128" s="630">
        <v>1264101023</v>
      </c>
      <c r="C128" s="659" t="s">
        <v>2081</v>
      </c>
      <c r="D128" s="630" t="s">
        <v>2085</v>
      </c>
      <c r="E128" s="630" t="s">
        <v>2085</v>
      </c>
      <c r="F128" s="660" t="s">
        <v>10</v>
      </c>
      <c r="G128" s="660" t="s">
        <v>100</v>
      </c>
      <c r="H128" s="660" t="s">
        <v>54</v>
      </c>
      <c r="I128" s="660" t="s">
        <v>4</v>
      </c>
      <c r="J128" s="564">
        <v>2020</v>
      </c>
      <c r="K128" s="619"/>
      <c r="L128" s="650">
        <v>44195</v>
      </c>
      <c r="M128" s="661">
        <v>-6.6588070000000004</v>
      </c>
      <c r="N128" s="661">
        <v>106.714144</v>
      </c>
      <c r="O128" s="662" t="s">
        <v>2197</v>
      </c>
      <c r="P128" s="660" t="s">
        <v>11</v>
      </c>
      <c r="Q128" s="660" t="s">
        <v>26</v>
      </c>
      <c r="R128" s="660" t="s">
        <v>13</v>
      </c>
      <c r="S128" s="478">
        <v>52</v>
      </c>
      <c r="T128" s="619" t="s">
        <v>2091</v>
      </c>
      <c r="U128" s="636" t="s">
        <v>163</v>
      </c>
      <c r="V128" s="619" t="s">
        <v>316</v>
      </c>
      <c r="W128" s="619">
        <v>-6.6587100000000001</v>
      </c>
      <c r="X128" s="619">
        <v>106.71405</v>
      </c>
      <c r="Y128" s="619">
        <v>52</v>
      </c>
      <c r="Z128" s="619">
        <v>50</v>
      </c>
      <c r="AA128" s="663">
        <v>44214</v>
      </c>
      <c r="AB128" s="664" t="s">
        <v>315</v>
      </c>
      <c r="AC128" s="663">
        <v>44215</v>
      </c>
      <c r="AD128" s="619"/>
      <c r="AE128" s="619"/>
      <c r="AF128" s="626" t="s">
        <v>167</v>
      </c>
      <c r="AG128" s="627" t="s">
        <v>167</v>
      </c>
      <c r="AH128" s="655" t="e">
        <v>#VALUE!</v>
      </c>
      <c r="AI128" s="651">
        <v>44253</v>
      </c>
      <c r="AJ128" s="543">
        <f>IF(Table13[[#This Row],[RFC Remark]]="DONE",Table13[[#This Row],[RFC Date]]-Table13[[#This Row],[STIP Date]],$AJ$2-Table13[[#This Row],[STIP Date]])</f>
        <v>58</v>
      </c>
      <c r="AK128" s="619" t="s">
        <v>167</v>
      </c>
      <c r="AL128" s="5" t="str">
        <f>IF(Table13[[#This Row],[Aging RFC]]&lt;=85,"ONTIME","DELAY")</f>
        <v>ONTIME</v>
      </c>
      <c r="AM128" s="621"/>
      <c r="AN128" s="636" t="s">
        <v>311</v>
      </c>
      <c r="AO128" s="619" t="s">
        <v>173</v>
      </c>
      <c r="AP128" s="653" t="s">
        <v>2250</v>
      </c>
      <c r="AQ128" s="481" t="s">
        <v>2133</v>
      </c>
      <c r="AR128" s="619"/>
    </row>
    <row r="129" spans="1:44" ht="15" customHeight="1">
      <c r="A129" s="684" t="s">
        <v>2116</v>
      </c>
      <c r="B129" s="414">
        <v>1264111023</v>
      </c>
      <c r="C129" s="754" t="s">
        <v>2082</v>
      </c>
      <c r="D129" s="414" t="s">
        <v>2086</v>
      </c>
      <c r="E129" s="414" t="s">
        <v>2086</v>
      </c>
      <c r="F129" s="601" t="s">
        <v>10</v>
      </c>
      <c r="G129" s="601" t="s">
        <v>100</v>
      </c>
      <c r="H129" s="601" t="s">
        <v>54</v>
      </c>
      <c r="I129" s="601" t="s">
        <v>4</v>
      </c>
      <c r="J129" s="472">
        <v>2020</v>
      </c>
      <c r="K129" s="470"/>
      <c r="L129" s="473">
        <v>44195</v>
      </c>
      <c r="M129" s="755">
        <v>-6.9987149999999998</v>
      </c>
      <c r="N129" s="755">
        <v>106.71767699999999</v>
      </c>
      <c r="O129" s="415" t="s">
        <v>2226</v>
      </c>
      <c r="P129" s="601" t="s">
        <v>11</v>
      </c>
      <c r="Q129" s="473" t="s">
        <v>12</v>
      </c>
      <c r="R129" s="615" t="s">
        <v>13</v>
      </c>
      <c r="S129" s="602">
        <v>62</v>
      </c>
      <c r="T129" s="470" t="s">
        <v>2091</v>
      </c>
      <c r="U129" s="470" t="s">
        <v>163</v>
      </c>
      <c r="V129" s="470" t="s">
        <v>314</v>
      </c>
      <c r="W129" s="679">
        <v>-7.00075</v>
      </c>
      <c r="X129" s="679">
        <v>106.718</v>
      </c>
      <c r="Y129" s="470">
        <v>62</v>
      </c>
      <c r="Z129" s="4">
        <v>60.5</v>
      </c>
      <c r="AA129" s="4"/>
      <c r="AB129" s="479"/>
      <c r="AC129" s="4"/>
      <c r="AD129" s="4"/>
      <c r="AE129" s="4"/>
      <c r="AF129" s="51" t="s">
        <v>167</v>
      </c>
      <c r="AG129" s="52" t="s">
        <v>167</v>
      </c>
      <c r="AH129" s="519" t="e">
        <v>#VALUE!</v>
      </c>
      <c r="AI129" s="475">
        <v>44264</v>
      </c>
      <c r="AJ129" s="474">
        <f>IF(Table13[[#This Row],[RFC Remark]]="DONE",Table13[[#This Row],[RFC Date]]-Table13[[#This Row],[STIP Date]],$AJ$2-Table13[[#This Row],[STIP Date]])</f>
        <v>69</v>
      </c>
      <c r="AK129" s="470" t="s">
        <v>167</v>
      </c>
      <c r="AL129" s="5" t="str">
        <f>IF(Table13[[#This Row],[Aging RFC]]&lt;=85,"ONTIME","DELAY")</f>
        <v>ONTIME</v>
      </c>
      <c r="AM129" s="49"/>
      <c r="AN129" s="470" t="s">
        <v>311</v>
      </c>
      <c r="AO129" s="470" t="s">
        <v>173</v>
      </c>
      <c r="AP129" s="469" t="s">
        <v>2257</v>
      </c>
      <c r="AQ129" s="481"/>
      <c r="AR129" s="470"/>
    </row>
    <row r="130" spans="1:44" ht="15" customHeight="1">
      <c r="A130" s="2" t="s">
        <v>2264</v>
      </c>
      <c r="B130" s="2" t="s">
        <v>2265</v>
      </c>
      <c r="C130" s="562" t="s">
        <v>2205</v>
      </c>
      <c r="D130" s="562" t="s">
        <v>2199</v>
      </c>
      <c r="E130" s="2" t="s">
        <v>2199</v>
      </c>
      <c r="F130" s="2" t="s">
        <v>10</v>
      </c>
      <c r="G130" s="25" t="s">
        <v>100</v>
      </c>
      <c r="H130" s="2" t="s">
        <v>3</v>
      </c>
      <c r="I130" s="2" t="s">
        <v>4</v>
      </c>
      <c r="J130" s="744"/>
      <c r="K130" s="2" t="s">
        <v>2266</v>
      </c>
      <c r="L130" s="27">
        <v>44259</v>
      </c>
      <c r="M130" s="12">
        <v>-6.2402499999999996</v>
      </c>
      <c r="N130" s="12">
        <v>106.60124</v>
      </c>
      <c r="O130" s="2" t="s">
        <v>2644</v>
      </c>
      <c r="P130" s="2" t="s">
        <v>11</v>
      </c>
      <c r="Q130" s="2" t="s">
        <v>19</v>
      </c>
      <c r="R130" s="2" t="s">
        <v>20</v>
      </c>
      <c r="S130" s="2">
        <v>42</v>
      </c>
      <c r="T130" s="497"/>
      <c r="U130" s="4" t="s">
        <v>2909</v>
      </c>
      <c r="V130" s="5" t="s">
        <v>2295</v>
      </c>
      <c r="W130" s="5">
        <v>-6.2424799999999996</v>
      </c>
      <c r="X130" s="5">
        <v>106.60701</v>
      </c>
      <c r="Y130" s="5">
        <v>20</v>
      </c>
      <c r="Z130" s="5"/>
      <c r="AA130" s="5"/>
      <c r="AB130" s="5"/>
      <c r="AC130" s="40"/>
      <c r="AD130" s="5"/>
      <c r="AE130" s="5"/>
      <c r="AF130" s="30" t="e">
        <f>VLOOKUP(Table13[[#This Row],[SONum]],[2]Worksheet1!$B$1:$Z$59,23,0)</f>
        <v>#N/A</v>
      </c>
      <c r="AG130" s="30" t="e">
        <f>VLOOKUP(Table13[[#This Row],[SONum]],[2]Worksheet1!$B$1:$Z$59,24,0)</f>
        <v>#N/A</v>
      </c>
      <c r="AH130" s="30" t="e">
        <f>VLOOKUP(Table13[[#This Row],[SONum]],[2]Worksheet1!$B$1:$Z$59,25,0)</f>
        <v>#N/A</v>
      </c>
      <c r="AI130" s="31">
        <v>44530</v>
      </c>
      <c r="AJ130" s="63">
        <f>IF(Table13[[#This Row],[RFC Remark]]="DONE",Table13[[#This Row],[RFC Date]]-Table13[[#This Row],[STIP Date]],$AJ$2-Table13[[#This Row],[STIP Date]])</f>
        <v>271</v>
      </c>
      <c r="AK130" s="5" t="s">
        <v>167</v>
      </c>
      <c r="AL130" s="5" t="str">
        <f>IF(Table13[[#This Row],[Aging RFC]]&lt;=85,"ONTIME","DELAY")</f>
        <v>DELAY</v>
      </c>
      <c r="AM130" s="745" t="e">
        <f>_xlfn.DAYS(Table13[[#This Row],[RFC Projection]],Table13[[#This Row],[STIP Date]])</f>
        <v>#N/A</v>
      </c>
      <c r="AN130" s="5" t="s">
        <v>311</v>
      </c>
      <c r="AO130" s="5" t="s">
        <v>311</v>
      </c>
      <c r="AP130" s="43" t="s">
        <v>2446</v>
      </c>
      <c r="AQ130" s="43" t="s">
        <v>2945</v>
      </c>
      <c r="AR130" s="43"/>
    </row>
    <row r="131" spans="1:44" ht="15" customHeight="1">
      <c r="A131" s="141" t="s">
        <v>2261</v>
      </c>
      <c r="B131" s="141" t="s">
        <v>2262</v>
      </c>
      <c r="C131" s="141" t="s">
        <v>2206</v>
      </c>
      <c r="D131" s="141" t="s">
        <v>2200</v>
      </c>
      <c r="E131" s="141" t="s">
        <v>2200</v>
      </c>
      <c r="F131" s="141" t="s">
        <v>10</v>
      </c>
      <c r="G131" s="140" t="s">
        <v>100</v>
      </c>
      <c r="H131" s="141" t="s">
        <v>3</v>
      </c>
      <c r="I131" s="141" t="s">
        <v>4</v>
      </c>
      <c r="J131" s="5"/>
      <c r="K131" s="141" t="s">
        <v>2263</v>
      </c>
      <c r="L131" s="689">
        <v>44259</v>
      </c>
      <c r="M131" s="767">
        <v>-6.3446499999999997</v>
      </c>
      <c r="N131" s="767">
        <v>106.38037</v>
      </c>
      <c r="O131" s="141" t="s">
        <v>2323</v>
      </c>
      <c r="P131" s="681" t="s">
        <v>11</v>
      </c>
      <c r="Q131" s="482" t="s">
        <v>2212</v>
      </c>
      <c r="R131" s="482" t="s">
        <v>20</v>
      </c>
      <c r="S131" s="389">
        <v>52</v>
      </c>
      <c r="T131" s="693" t="s">
        <v>169</v>
      </c>
      <c r="U131" s="637" t="s">
        <v>165</v>
      </c>
      <c r="V131" s="637" t="s">
        <v>1975</v>
      </c>
      <c r="W131" s="637">
        <v>-6.3455300000000001</v>
      </c>
      <c r="X131" s="637">
        <v>106.37975</v>
      </c>
      <c r="Y131" s="637" t="s">
        <v>977</v>
      </c>
      <c r="Z131" s="637"/>
      <c r="AA131" s="637"/>
      <c r="AB131" s="637"/>
      <c r="AC131" s="642"/>
      <c r="AD131" s="637"/>
      <c r="AE131" s="637"/>
      <c r="AF131" s="643" t="s">
        <v>167</v>
      </c>
      <c r="AG131" s="644" t="s">
        <v>167</v>
      </c>
      <c r="AH131" s="655" t="e">
        <v>#VALUE!</v>
      </c>
      <c r="AI131" s="643">
        <v>44301</v>
      </c>
      <c r="AJ131" s="543">
        <f>IF(Table13[[#This Row],[RFC Remark]]="DONE",Table13[[#This Row],[RFC Date]]-Table13[[#This Row],[STIP Date]],$AJ$2-Table13[[#This Row],[STIP Date]])</f>
        <v>42</v>
      </c>
      <c r="AK131" s="637" t="s">
        <v>167</v>
      </c>
      <c r="AL131" s="5" t="str">
        <f>IF(Table13[[#This Row],[Aging RFC]]&lt;=85,"ONTIME","DELAY")</f>
        <v>ONTIME</v>
      </c>
      <c r="AM131" s="637"/>
      <c r="AN131" s="637" t="s">
        <v>311</v>
      </c>
      <c r="AO131" s="637" t="s">
        <v>173</v>
      </c>
      <c r="AP131" s="496" t="s">
        <v>2341</v>
      </c>
      <c r="AQ131" s="496"/>
      <c r="AR131" s="496"/>
    </row>
    <row r="132" spans="1:44" ht="15" customHeight="1">
      <c r="A132" s="699" t="s">
        <v>2267</v>
      </c>
      <c r="B132" s="699" t="s">
        <v>2268</v>
      </c>
      <c r="C132" s="59" t="s">
        <v>2207</v>
      </c>
      <c r="D132" s="572" t="s">
        <v>2201</v>
      </c>
      <c r="E132" s="59" t="s">
        <v>2201</v>
      </c>
      <c r="F132" s="59" t="s">
        <v>10</v>
      </c>
      <c r="G132" s="480" t="s">
        <v>100</v>
      </c>
      <c r="H132" s="59" t="s">
        <v>3</v>
      </c>
      <c r="I132" s="59" t="s">
        <v>4</v>
      </c>
      <c r="J132" s="48"/>
      <c r="K132" s="565" t="s">
        <v>2272</v>
      </c>
      <c r="L132" s="60">
        <v>44259</v>
      </c>
      <c r="M132" s="713">
        <v>-6.6297920000000001</v>
      </c>
      <c r="N132" s="719">
        <v>106.542109</v>
      </c>
      <c r="O132" s="565" t="s">
        <v>2365</v>
      </c>
      <c r="P132" s="447" t="s">
        <v>11</v>
      </c>
      <c r="Q132" s="59" t="s">
        <v>26</v>
      </c>
      <c r="R132" s="540" t="s">
        <v>13</v>
      </c>
      <c r="S132" s="61">
        <v>52</v>
      </c>
      <c r="T132" s="497" t="s">
        <v>168</v>
      </c>
      <c r="U132" s="5" t="s">
        <v>163</v>
      </c>
      <c r="V132" s="5" t="s">
        <v>2338</v>
      </c>
      <c r="W132" s="5">
        <v>-6.6285100000000003</v>
      </c>
      <c r="X132" s="5">
        <v>106.54255999999999</v>
      </c>
      <c r="Y132" s="5" t="s">
        <v>977</v>
      </c>
      <c r="Z132" s="5"/>
      <c r="AA132" s="5"/>
      <c r="AB132" s="5"/>
      <c r="AC132" s="40"/>
      <c r="AD132" s="5"/>
      <c r="AE132" s="5"/>
      <c r="AF132" s="31" t="s">
        <v>167</v>
      </c>
      <c r="AG132" s="34" t="s">
        <v>167</v>
      </c>
      <c r="AH132" s="519" t="e">
        <v>#VALUE!</v>
      </c>
      <c r="AI132" s="31">
        <v>44300</v>
      </c>
      <c r="AJ132" s="63">
        <f>IF(Table13[[#This Row],[RFC Remark]]="DONE",Table13[[#This Row],[RFC Date]]-Table13[[#This Row],[STIP Date]],$AJ$2-Table13[[#This Row],[STIP Date]])</f>
        <v>41</v>
      </c>
      <c r="AK132" s="5" t="s">
        <v>167</v>
      </c>
      <c r="AL132" s="5" t="str">
        <f>IF(Table13[[#This Row],[Aging RFC]]&lt;=85,"ONTIME","DELAY")</f>
        <v>ONTIME</v>
      </c>
      <c r="AM132" s="5"/>
      <c r="AN132" s="5" t="s">
        <v>311</v>
      </c>
      <c r="AO132" s="5" t="s">
        <v>173</v>
      </c>
      <c r="AP132" s="43" t="s">
        <v>2364</v>
      </c>
      <c r="AQ132" s="53"/>
      <c r="AR132" s="43"/>
    </row>
    <row r="133" spans="1:44" ht="15" customHeight="1">
      <c r="A133" s="700" t="s">
        <v>2270</v>
      </c>
      <c r="B133" s="699" t="s">
        <v>2271</v>
      </c>
      <c r="C133" s="59" t="s">
        <v>2163</v>
      </c>
      <c r="D133" s="59" t="s">
        <v>2161</v>
      </c>
      <c r="E133" s="59" t="s">
        <v>2161</v>
      </c>
      <c r="F133" s="447" t="s">
        <v>10</v>
      </c>
      <c r="G133" s="573" t="s">
        <v>100</v>
      </c>
      <c r="H133" s="59" t="s">
        <v>3</v>
      </c>
      <c r="I133" s="59" t="s">
        <v>4</v>
      </c>
      <c r="J133" s="495"/>
      <c r="K133" s="59" t="s">
        <v>2269</v>
      </c>
      <c r="L133" s="60">
        <v>44259</v>
      </c>
      <c r="M133" s="555">
        <v>-6.90022</v>
      </c>
      <c r="N133" s="555">
        <v>106.89327</v>
      </c>
      <c r="O133" s="59"/>
      <c r="P133" s="447" t="s">
        <v>11</v>
      </c>
      <c r="Q133" s="59" t="s">
        <v>12</v>
      </c>
      <c r="R133" s="540" t="s">
        <v>13</v>
      </c>
      <c r="S133" s="61">
        <v>52</v>
      </c>
      <c r="T133" s="497" t="s">
        <v>168</v>
      </c>
      <c r="U133" s="5" t="s">
        <v>165</v>
      </c>
      <c r="V133" s="5" t="s">
        <v>2162</v>
      </c>
      <c r="W133" s="695">
        <v>-6.90022</v>
      </c>
      <c r="X133" s="695">
        <v>106.89327</v>
      </c>
      <c r="Y133" s="5">
        <v>52</v>
      </c>
      <c r="Z133" s="5"/>
      <c r="AA133" s="5"/>
      <c r="AB133" s="5"/>
      <c r="AC133" s="40"/>
      <c r="AD133" s="5"/>
      <c r="AE133" s="5"/>
      <c r="AF133" s="31" t="s">
        <v>167</v>
      </c>
      <c r="AG133" s="52" t="s">
        <v>167</v>
      </c>
      <c r="AH133" s="517" t="e">
        <v>#VALUE!</v>
      </c>
      <c r="AI133" s="31">
        <v>44267</v>
      </c>
      <c r="AJ133" s="63">
        <f>IF(Table13[[#This Row],[RFC Remark]]="DONE",Table13[[#This Row],[RFC Date]]-Table13[[#This Row],[STIP Date]],$AJ$2-Table13[[#This Row],[STIP Date]])</f>
        <v>8</v>
      </c>
      <c r="AK133" s="5" t="s">
        <v>167</v>
      </c>
      <c r="AL133" s="5" t="str">
        <f>IF(Table13[[#This Row],[Aging RFC]]&lt;=85,"ONTIME","DELAY")</f>
        <v>ONTIME</v>
      </c>
      <c r="AM133" s="5"/>
      <c r="AN133" s="5" t="s">
        <v>311</v>
      </c>
      <c r="AO133" s="5" t="s">
        <v>173</v>
      </c>
      <c r="AP133" s="43" t="s">
        <v>2293</v>
      </c>
      <c r="AQ133" s="496"/>
      <c r="AR133" s="43"/>
    </row>
    <row r="134" spans="1:44" ht="15" customHeight="1">
      <c r="A134" s="595" t="s">
        <v>2258</v>
      </c>
      <c r="B134" s="595" t="s">
        <v>2259</v>
      </c>
      <c r="C134" s="595" t="s">
        <v>2210</v>
      </c>
      <c r="D134" s="488" t="s">
        <v>2204</v>
      </c>
      <c r="E134" s="595" t="s">
        <v>2204</v>
      </c>
      <c r="F134" s="595" t="s">
        <v>10</v>
      </c>
      <c r="G134" s="595" t="s">
        <v>100</v>
      </c>
      <c r="H134" s="595" t="s">
        <v>3</v>
      </c>
      <c r="I134" s="595" t="s">
        <v>4</v>
      </c>
      <c r="J134" s="681"/>
      <c r="K134" s="488" t="s">
        <v>2260</v>
      </c>
      <c r="L134" s="596">
        <v>44259</v>
      </c>
      <c r="M134" s="715">
        <v>-6.2235899999999997</v>
      </c>
      <c r="N134" s="756">
        <v>106.34509</v>
      </c>
      <c r="O134" s="446" t="s">
        <v>2291</v>
      </c>
      <c r="P134" s="601" t="s">
        <v>11</v>
      </c>
      <c r="Q134" s="595" t="s">
        <v>772</v>
      </c>
      <c r="R134" s="616" t="s">
        <v>20</v>
      </c>
      <c r="S134" s="488">
        <v>42</v>
      </c>
      <c r="T134" s="613" t="s">
        <v>168</v>
      </c>
      <c r="U134" s="49" t="s">
        <v>165</v>
      </c>
      <c r="V134" s="49" t="s">
        <v>1978</v>
      </c>
      <c r="W134" s="49">
        <v>-6.2235899999999997</v>
      </c>
      <c r="X134" s="49">
        <v>106.34509</v>
      </c>
      <c r="Y134" s="49">
        <v>42</v>
      </c>
      <c r="Z134" s="5"/>
      <c r="AA134" s="5"/>
      <c r="AB134" s="5"/>
      <c r="AC134" s="40"/>
      <c r="AD134" s="5"/>
      <c r="AE134" s="5"/>
      <c r="AF134" s="51" t="s">
        <v>167</v>
      </c>
      <c r="AG134" s="52" t="s">
        <v>167</v>
      </c>
      <c r="AH134" s="519" t="e">
        <v>#VALUE!</v>
      </c>
      <c r="AI134" s="51">
        <v>44278</v>
      </c>
      <c r="AJ134" s="474">
        <f>IF(Table13[[#This Row],[RFC Remark]]="DONE",Table13[[#This Row],[RFC Date]]-Table13[[#This Row],[STIP Date]],$AJ$2-Table13[[#This Row],[STIP Date]])</f>
        <v>19</v>
      </c>
      <c r="AK134" s="49" t="s">
        <v>167</v>
      </c>
      <c r="AL134" s="5" t="str">
        <f>IF(Table13[[#This Row],[Aging RFC]]&lt;=85,"ONTIME","DELAY")</f>
        <v>ONTIME</v>
      </c>
      <c r="AM134" s="49"/>
      <c r="AN134" s="49" t="s">
        <v>311</v>
      </c>
      <c r="AO134" s="49" t="s">
        <v>173</v>
      </c>
      <c r="AP134" s="43" t="s">
        <v>2314</v>
      </c>
      <c r="AQ134" s="496"/>
      <c r="AR134" s="53"/>
    </row>
    <row r="135" spans="1:44" ht="15" customHeight="1">
      <c r="A135" s="2" t="s">
        <v>2348</v>
      </c>
      <c r="B135" s="2" t="s">
        <v>2349</v>
      </c>
      <c r="C135" s="588" t="s">
        <v>2281</v>
      </c>
      <c r="D135" s="588" t="s">
        <v>2282</v>
      </c>
      <c r="E135" s="588" t="s">
        <v>2282</v>
      </c>
      <c r="F135" s="25" t="s">
        <v>10</v>
      </c>
      <c r="G135" s="2" t="s">
        <v>100</v>
      </c>
      <c r="H135" s="2" t="s">
        <v>3</v>
      </c>
      <c r="I135" s="2" t="s">
        <v>4</v>
      </c>
      <c r="J135" s="246"/>
      <c r="K135" s="2" t="s">
        <v>2350</v>
      </c>
      <c r="L135" s="27">
        <v>44273</v>
      </c>
      <c r="M135" s="554">
        <v>-6.1935739999999999</v>
      </c>
      <c r="N135" s="554">
        <v>106.49882100000001</v>
      </c>
      <c r="O135" s="2" t="s">
        <v>2671</v>
      </c>
      <c r="P135" s="25" t="s">
        <v>11</v>
      </c>
      <c r="Q135" s="2" t="s">
        <v>19</v>
      </c>
      <c r="R135" s="2" t="s">
        <v>20</v>
      </c>
      <c r="S135" s="61"/>
      <c r="T135" s="497" t="s">
        <v>221</v>
      </c>
      <c r="U135" s="4" t="s">
        <v>2909</v>
      </c>
      <c r="V135" s="5" t="s">
        <v>2338</v>
      </c>
      <c r="W135" s="819">
        <v>-6.1937699999999998</v>
      </c>
      <c r="X135" s="819">
        <v>106.49706999999999</v>
      </c>
      <c r="Y135" s="5" t="s">
        <v>2672</v>
      </c>
      <c r="Z135" s="5"/>
      <c r="AA135" s="5"/>
      <c r="AB135" s="5"/>
      <c r="AC135" s="40"/>
      <c r="AD135" s="5"/>
      <c r="AE135" s="5"/>
      <c r="AF135" s="30">
        <v>44589</v>
      </c>
      <c r="AG135" s="30" t="e">
        <f>VLOOKUP(Table13[[#This Row],[SONum]],[2]Worksheet1!$B$1:$Z$59,24,0)</f>
        <v>#N/A</v>
      </c>
      <c r="AH135" s="30" t="e">
        <f>VLOOKUP(Table13[[#This Row],[SONum]],[2]Worksheet1!$B$1:$Z$59,25,0)</f>
        <v>#N/A</v>
      </c>
      <c r="AI135" s="31"/>
      <c r="AJ135" s="63">
        <f ca="1">IF(Table13[[#This Row],[RFC Remark]]="DONE",Table13[[#This Row],[RFC Date]]-Table13[[#This Row],[STIP Date]],$AJ$2-Table13[[#This Row],[STIP Date]])</f>
        <v>561</v>
      </c>
      <c r="AK135" s="5"/>
      <c r="AL135" s="5"/>
      <c r="AM135" s="745">
        <f>_xlfn.DAYS(Table13[[#This Row],[RFC Projection]],Table13[[#This Row],[STIP Date]])</f>
        <v>316</v>
      </c>
      <c r="AN135" s="5" t="s">
        <v>174</v>
      </c>
      <c r="AO135" s="5" t="s">
        <v>172</v>
      </c>
      <c r="AP135" s="43" t="s">
        <v>2443</v>
      </c>
      <c r="AQ135" s="43" t="s">
        <v>3048</v>
      </c>
      <c r="AR135" s="43"/>
    </row>
    <row r="136" spans="1:44" ht="15" customHeight="1">
      <c r="A136" s="665" t="s">
        <v>2319</v>
      </c>
      <c r="B136" s="665" t="s">
        <v>2320</v>
      </c>
      <c r="C136" s="768" t="s">
        <v>2277</v>
      </c>
      <c r="D136" s="769" t="s">
        <v>2278</v>
      </c>
      <c r="E136" s="768" t="s">
        <v>2278</v>
      </c>
      <c r="F136" s="140" t="s">
        <v>10</v>
      </c>
      <c r="G136" s="665" t="s">
        <v>100</v>
      </c>
      <c r="H136" s="665" t="s">
        <v>3</v>
      </c>
      <c r="I136" s="665" t="s">
        <v>4</v>
      </c>
      <c r="J136" s="495"/>
      <c r="K136" s="141" t="s">
        <v>2321</v>
      </c>
      <c r="L136" s="689">
        <v>44273</v>
      </c>
      <c r="M136" s="769">
        <v>-6.16317</v>
      </c>
      <c r="N136" s="768">
        <v>106.69985200000001</v>
      </c>
      <c r="O136" s="621" t="s">
        <v>2322</v>
      </c>
      <c r="P136" s="770" t="s">
        <v>5</v>
      </c>
      <c r="Q136" s="665" t="s">
        <v>2288</v>
      </c>
      <c r="R136" s="771" t="s">
        <v>7</v>
      </c>
      <c r="S136" s="645">
        <v>25</v>
      </c>
      <c r="T136" s="667" t="s">
        <v>169</v>
      </c>
      <c r="U136" s="621" t="s">
        <v>165</v>
      </c>
      <c r="V136" s="621" t="s">
        <v>1978</v>
      </c>
      <c r="W136" s="621">
        <v>-6.1632699999999998</v>
      </c>
      <c r="X136" s="621">
        <v>106.69977</v>
      </c>
      <c r="Y136" s="621">
        <v>25</v>
      </c>
      <c r="Z136" s="621"/>
      <c r="AA136" s="621"/>
      <c r="AB136" s="621"/>
      <c r="AC136" s="625"/>
      <c r="AD136" s="621"/>
      <c r="AE136" s="621"/>
      <c r="AF136" s="626" t="s">
        <v>167</v>
      </c>
      <c r="AG136" s="644" t="s">
        <v>167</v>
      </c>
      <c r="AH136" s="655" t="e">
        <v>#VALUE!</v>
      </c>
      <c r="AI136" s="626">
        <v>44285</v>
      </c>
      <c r="AJ136" s="543">
        <f>IF(Table13[[#This Row],[RFC Remark]]="DONE",Table13[[#This Row],[RFC Date]]-Table13[[#This Row],[STIP Date]],$AJ$2-Table13[[#This Row],[STIP Date]])</f>
        <v>12</v>
      </c>
      <c r="AK136" s="621" t="s">
        <v>167</v>
      </c>
      <c r="AL136" s="5" t="str">
        <f>IF(Table13[[#This Row],[Aging RFC]]&lt;=85,"ONTIME","DELAY")</f>
        <v>ONTIME</v>
      </c>
      <c r="AM136" s="621"/>
      <c r="AN136" s="621" t="s">
        <v>311</v>
      </c>
      <c r="AO136" s="621" t="s">
        <v>173</v>
      </c>
      <c r="AP136" s="629" t="s">
        <v>2299</v>
      </c>
      <c r="AQ136" s="629"/>
      <c r="AR136" s="629"/>
    </row>
    <row r="137" spans="1:44" ht="15" customHeight="1">
      <c r="A137" s="59" t="s">
        <v>2345</v>
      </c>
      <c r="B137" s="571" t="s">
        <v>2346</v>
      </c>
      <c r="C137" s="704" t="s">
        <v>2285</v>
      </c>
      <c r="D137" s="704" t="s">
        <v>2286</v>
      </c>
      <c r="E137" s="704" t="s">
        <v>2286</v>
      </c>
      <c r="F137" s="447" t="s">
        <v>10</v>
      </c>
      <c r="G137" s="59" t="s">
        <v>100</v>
      </c>
      <c r="H137" s="59" t="s">
        <v>3</v>
      </c>
      <c r="I137" s="59" t="s">
        <v>4</v>
      </c>
      <c r="J137" s="565"/>
      <c r="K137" s="59" t="s">
        <v>2347</v>
      </c>
      <c r="L137" s="60">
        <v>44273</v>
      </c>
      <c r="M137" s="717">
        <v>-6.8956999999999997</v>
      </c>
      <c r="N137" s="717">
        <v>106.94970000000001</v>
      </c>
      <c r="O137" s="246" t="s">
        <v>2383</v>
      </c>
      <c r="P137" s="447" t="s">
        <v>11</v>
      </c>
      <c r="Q137" s="688" t="s">
        <v>12</v>
      </c>
      <c r="R137" s="690" t="s">
        <v>13</v>
      </c>
      <c r="S137" s="61">
        <v>52</v>
      </c>
      <c r="T137" s="497" t="s">
        <v>168</v>
      </c>
      <c r="U137" s="5" t="s">
        <v>165</v>
      </c>
      <c r="V137" s="5" t="s">
        <v>2295</v>
      </c>
      <c r="W137" s="5">
        <v>-6.8959900000000003</v>
      </c>
      <c r="X137" s="5">
        <v>106.94812</v>
      </c>
      <c r="Y137" s="5">
        <v>52</v>
      </c>
      <c r="Z137" s="5">
        <v>51</v>
      </c>
      <c r="AA137" s="5"/>
      <c r="AB137" s="5"/>
      <c r="AC137" s="40"/>
      <c r="AD137" s="5"/>
      <c r="AE137" s="5"/>
      <c r="AF137" s="31">
        <v>44331</v>
      </c>
      <c r="AG137" s="697">
        <v>44331</v>
      </c>
      <c r="AH137" s="519">
        <v>44361</v>
      </c>
      <c r="AI137" s="31">
        <v>44319</v>
      </c>
      <c r="AJ137" s="22">
        <f>IF(Table13[[#This Row],[RFC Remark]]="DONE",Table13[[#This Row],[RFC Date]]-Table13[[#This Row],[STIP Date]],$AJ$2-Table13[[#This Row],[STIP Date]])</f>
        <v>46</v>
      </c>
      <c r="AK137" s="5" t="s">
        <v>167</v>
      </c>
      <c r="AL137" s="5" t="str">
        <f>IF(Table13[[#This Row],[Aging RFC]]&lt;=85,"ONTIME","DELAY")</f>
        <v>ONTIME</v>
      </c>
      <c r="AM137" s="5"/>
      <c r="AN137" s="5" t="s">
        <v>311</v>
      </c>
      <c r="AO137" s="5" t="s">
        <v>173</v>
      </c>
      <c r="AP137" s="43" t="s">
        <v>2300</v>
      </c>
      <c r="AQ137" s="496"/>
      <c r="AR137" s="43"/>
    </row>
    <row r="138" spans="1:44" ht="15" customHeight="1">
      <c r="A138" s="488" t="s">
        <v>2351</v>
      </c>
      <c r="B138" s="595" t="s">
        <v>2354</v>
      </c>
      <c r="C138" s="702" t="s">
        <v>2275</v>
      </c>
      <c r="D138" s="702" t="s">
        <v>2276</v>
      </c>
      <c r="E138" s="702" t="s">
        <v>2276</v>
      </c>
      <c r="F138" s="709" t="s">
        <v>2</v>
      </c>
      <c r="G138" s="595" t="s">
        <v>100</v>
      </c>
      <c r="H138" s="595" t="s">
        <v>3</v>
      </c>
      <c r="I138" s="595" t="s">
        <v>4</v>
      </c>
      <c r="J138" s="603"/>
      <c r="K138" s="595" t="s">
        <v>2355</v>
      </c>
      <c r="L138" s="596">
        <v>44281</v>
      </c>
      <c r="M138" s="702">
        <v>-6.1204499999999999</v>
      </c>
      <c r="N138" s="702">
        <v>106.71454</v>
      </c>
      <c r="O138" s="721"/>
      <c r="P138" s="687" t="s">
        <v>5</v>
      </c>
      <c r="Q138" s="595" t="s">
        <v>2288</v>
      </c>
      <c r="R138" s="616" t="s">
        <v>7</v>
      </c>
      <c r="S138" s="541"/>
      <c r="T138" s="613" t="s">
        <v>169</v>
      </c>
      <c r="U138" s="49" t="s">
        <v>163</v>
      </c>
      <c r="V138" s="49" t="s">
        <v>2295</v>
      </c>
      <c r="W138" s="49">
        <v>-6.1216100000000004</v>
      </c>
      <c r="X138" s="49">
        <v>106.71268999999999</v>
      </c>
      <c r="Y138" s="49">
        <v>25</v>
      </c>
      <c r="Z138" s="49"/>
      <c r="AA138" s="49"/>
      <c r="AB138" s="49"/>
      <c r="AC138" s="58"/>
      <c r="AD138" s="49"/>
      <c r="AE138" s="49"/>
      <c r="AF138" s="51">
        <v>44356</v>
      </c>
      <c r="AG138" s="563">
        <v>44356</v>
      </c>
      <c r="AH138" s="519">
        <v>44386</v>
      </c>
      <c r="AI138" s="51">
        <v>44369</v>
      </c>
      <c r="AJ138" s="474">
        <f>IF(Table13[[#This Row],[RFC Remark]]="DONE",Table13[[#This Row],[RFC Date]]-Table13[[#This Row],[STIP Date]],$AJ$2-Table13[[#This Row],[STIP Date]])</f>
        <v>88</v>
      </c>
      <c r="AK138" s="49" t="s">
        <v>167</v>
      </c>
      <c r="AL138" s="5" t="str">
        <f>IF(Table13[[#This Row],[Aging RFC]]&lt;=85,"ONTIME","DELAY")</f>
        <v>DELAY</v>
      </c>
      <c r="AM138" s="49"/>
      <c r="AN138" s="49" t="s">
        <v>311</v>
      </c>
      <c r="AO138" s="49" t="s">
        <v>173</v>
      </c>
      <c r="AP138" s="53" t="s">
        <v>2442</v>
      </c>
      <c r="AQ138" s="496" t="s">
        <v>1145</v>
      </c>
      <c r="AR138" s="53"/>
    </row>
    <row r="139" spans="1:44" ht="15" customHeight="1">
      <c r="A139" s="2" t="s">
        <v>2352</v>
      </c>
      <c r="B139" s="2" t="s">
        <v>2353</v>
      </c>
      <c r="C139" s="554" t="s">
        <v>2279</v>
      </c>
      <c r="D139" s="554" t="s">
        <v>2280</v>
      </c>
      <c r="E139" s="554" t="s">
        <v>2280</v>
      </c>
      <c r="F139" s="17" t="s">
        <v>2</v>
      </c>
      <c r="G139" s="2" t="s">
        <v>100</v>
      </c>
      <c r="H139" s="2" t="s">
        <v>3</v>
      </c>
      <c r="I139" s="2" t="s">
        <v>4</v>
      </c>
      <c r="J139" s="745"/>
      <c r="K139" s="2" t="s">
        <v>2356</v>
      </c>
      <c r="L139" s="27">
        <v>44281</v>
      </c>
      <c r="M139" s="554">
        <v>-6.3513450000000002</v>
      </c>
      <c r="N139" s="554">
        <v>106.906791</v>
      </c>
      <c r="O139" s="5" t="s">
        <v>2362</v>
      </c>
      <c r="P139" s="467" t="s">
        <v>5</v>
      </c>
      <c r="Q139" s="2" t="s">
        <v>2287</v>
      </c>
      <c r="R139" s="2" t="s">
        <v>7</v>
      </c>
      <c r="S139" s="61"/>
      <c r="T139" s="497" t="s">
        <v>169</v>
      </c>
      <c r="U139" s="5" t="s">
        <v>163</v>
      </c>
      <c r="V139" s="5" t="s">
        <v>1975</v>
      </c>
      <c r="W139" s="5">
        <v>-6.3516399999999997</v>
      </c>
      <c r="X139" s="5">
        <v>106.90709</v>
      </c>
      <c r="Y139" s="5">
        <v>25</v>
      </c>
      <c r="Z139" s="5"/>
      <c r="AA139" s="5"/>
      <c r="AB139" s="5"/>
      <c r="AC139" s="40"/>
      <c r="AD139" s="5"/>
      <c r="AE139" s="5"/>
      <c r="AF139" s="31">
        <v>44294</v>
      </c>
      <c r="AG139" s="697">
        <v>44294</v>
      </c>
      <c r="AH139" s="517">
        <v>44324</v>
      </c>
      <c r="AI139" s="31">
        <v>44308</v>
      </c>
      <c r="AJ139" s="63">
        <f>IF(Table13[[#This Row],[RFC Remark]]="DONE",Table13[[#This Row],[RFC Date]]-Table13[[#This Row],[STIP Date]],$AJ$2-Table13[[#This Row],[STIP Date]])</f>
        <v>27</v>
      </c>
      <c r="AK139" s="5" t="s">
        <v>167</v>
      </c>
      <c r="AL139" s="5" t="str">
        <f>IF(Table13[[#This Row],[Aging RFC]]&lt;=85,"ONTIME","DELAY")</f>
        <v>ONTIME</v>
      </c>
      <c r="AM139" s="745"/>
      <c r="AN139" s="17" t="s">
        <v>311</v>
      </c>
      <c r="AO139" s="5" t="s">
        <v>173</v>
      </c>
      <c r="AP139" s="43" t="s">
        <v>2337</v>
      </c>
      <c r="AQ139" s="43"/>
      <c r="AR139" s="43"/>
    </row>
    <row r="140" spans="1:44" ht="15" customHeight="1">
      <c r="A140" s="665">
        <v>10626540011</v>
      </c>
      <c r="B140" s="665" t="s">
        <v>2357</v>
      </c>
      <c r="C140" s="706" t="s">
        <v>2208</v>
      </c>
      <c r="D140" s="708" t="s">
        <v>2202</v>
      </c>
      <c r="E140" s="706" t="s">
        <v>2202</v>
      </c>
      <c r="F140" s="710" t="s">
        <v>2</v>
      </c>
      <c r="G140" s="660" t="s">
        <v>100</v>
      </c>
      <c r="H140" s="711" t="s">
        <v>3</v>
      </c>
      <c r="I140" s="711" t="s">
        <v>4</v>
      </c>
      <c r="J140" s="712"/>
      <c r="K140" s="665" t="s">
        <v>2358</v>
      </c>
      <c r="L140" s="666">
        <v>44286</v>
      </c>
      <c r="M140" s="718">
        <v>-6.1510199999999999</v>
      </c>
      <c r="N140" s="720">
        <v>106.63245999999999</v>
      </c>
      <c r="O140" s="707" t="s">
        <v>2333</v>
      </c>
      <c r="P140" s="706" t="s">
        <v>11</v>
      </c>
      <c r="Q140" s="711" t="s">
        <v>21</v>
      </c>
      <c r="R140" s="725" t="s">
        <v>20</v>
      </c>
      <c r="S140" s="727"/>
      <c r="T140" s="667" t="s">
        <v>223</v>
      </c>
      <c r="U140" s="707" t="s">
        <v>165</v>
      </c>
      <c r="V140" s="707" t="s">
        <v>2295</v>
      </c>
      <c r="W140" s="729">
        <v>-6.1525299999999996</v>
      </c>
      <c r="X140" s="729">
        <v>106.63236000000001</v>
      </c>
      <c r="Y140" s="707">
        <v>25</v>
      </c>
      <c r="Z140" s="707"/>
      <c r="AA140" s="707"/>
      <c r="AB140" s="707"/>
      <c r="AC140" s="731"/>
      <c r="AD140" s="707"/>
      <c r="AE140" s="707"/>
      <c r="AF140" s="626" t="s">
        <v>167</v>
      </c>
      <c r="AG140" s="627" t="s">
        <v>167</v>
      </c>
      <c r="AH140" s="732" t="e">
        <v>#VALUE!</v>
      </c>
      <c r="AI140" s="733">
        <v>44302</v>
      </c>
      <c r="AJ140" s="734">
        <f>IF(Table13[[#This Row],[RFC Remark]]="DONE",Table13[[#This Row],[RFC Date]]-Table13[[#This Row],[STIP Date]],$AJ$2-Table13[[#This Row],[STIP Date]])</f>
        <v>16</v>
      </c>
      <c r="AK140" s="707" t="s">
        <v>167</v>
      </c>
      <c r="AL140" s="5" t="str">
        <f>IF(Table13[[#This Row],[Aging RFC]]&lt;=85,"ONTIME","DELAY")</f>
        <v>ONTIME</v>
      </c>
      <c r="AM140" s="621"/>
      <c r="AN140" s="707" t="s">
        <v>311</v>
      </c>
      <c r="AO140" s="621" t="s">
        <v>173</v>
      </c>
      <c r="AP140" s="735" t="s">
        <v>2382</v>
      </c>
      <c r="AQ140" s="736" t="s">
        <v>2246</v>
      </c>
      <c r="AR140" s="735"/>
    </row>
    <row r="141" spans="1:44" ht="15" customHeight="1">
      <c r="A141" s="595" t="s">
        <v>2359</v>
      </c>
      <c r="B141" s="595" t="s">
        <v>2360</v>
      </c>
      <c r="C141" s="757" t="s">
        <v>2283</v>
      </c>
      <c r="D141" s="757" t="s">
        <v>2284</v>
      </c>
      <c r="E141" s="757" t="s">
        <v>2284</v>
      </c>
      <c r="F141" s="446" t="s">
        <v>10</v>
      </c>
      <c r="G141" s="595" t="s">
        <v>100</v>
      </c>
      <c r="H141" s="595" t="s">
        <v>3</v>
      </c>
      <c r="I141" s="595" t="s">
        <v>4</v>
      </c>
      <c r="J141" s="495"/>
      <c r="K141" s="595" t="s">
        <v>2361</v>
      </c>
      <c r="L141" s="596">
        <v>44286</v>
      </c>
      <c r="M141" s="758">
        <v>-6.3538569999999996</v>
      </c>
      <c r="N141" s="758">
        <v>106.70213699999999</v>
      </c>
      <c r="O141" s="49" t="s">
        <v>2367</v>
      </c>
      <c r="P141" s="446" t="s">
        <v>11</v>
      </c>
      <c r="Q141" s="682" t="s">
        <v>29</v>
      </c>
      <c r="R141" s="616" t="s">
        <v>20</v>
      </c>
      <c r="S141" s="541"/>
      <c r="T141" s="49" t="s">
        <v>2148</v>
      </c>
      <c r="U141" s="49"/>
      <c r="V141" s="49" t="s">
        <v>1975</v>
      </c>
      <c r="W141" s="484">
        <v>-6.3540900000000002</v>
      </c>
      <c r="X141" s="484">
        <v>106.70237</v>
      </c>
      <c r="Y141" s="49">
        <v>25</v>
      </c>
      <c r="Z141" s="49"/>
      <c r="AA141" s="49"/>
      <c r="AB141" s="49"/>
      <c r="AC141" s="58"/>
      <c r="AD141" s="49"/>
      <c r="AE141" s="49"/>
      <c r="AF141" s="51">
        <v>44301</v>
      </c>
      <c r="AG141" s="563">
        <v>44301</v>
      </c>
      <c r="AH141" s="519">
        <v>44331</v>
      </c>
      <c r="AI141" s="51">
        <v>44315</v>
      </c>
      <c r="AJ141" s="593">
        <f>IF(Table13[[#This Row],[RFC Remark]]="DONE",Table13[[#This Row],[RFC Date]]-Table13[[#This Row],[STIP Date]],$AJ$2-Table13[[#This Row],[STIP Date]])</f>
        <v>29</v>
      </c>
      <c r="AK141" s="49" t="s">
        <v>167</v>
      </c>
      <c r="AL141" s="5" t="str">
        <f>IF(Table13[[#This Row],[Aging RFC]]&lt;=85,"ONTIME","DELAY")</f>
        <v>ONTIME</v>
      </c>
      <c r="AM141" s="49"/>
      <c r="AN141" s="49" t="s">
        <v>311</v>
      </c>
      <c r="AO141" s="49" t="s">
        <v>173</v>
      </c>
      <c r="AP141" s="43" t="s">
        <v>2301</v>
      </c>
      <c r="AQ141" s="496"/>
      <c r="AR141" s="53"/>
    </row>
    <row r="142" spans="1:44" ht="15" customHeight="1">
      <c r="A142" s="5" t="s">
        <v>2384</v>
      </c>
      <c r="B142" s="2" t="s">
        <v>2389</v>
      </c>
      <c r="C142" s="562" t="s">
        <v>2390</v>
      </c>
      <c r="D142" s="562" t="s">
        <v>2391</v>
      </c>
      <c r="E142" s="2" t="s">
        <v>2391</v>
      </c>
      <c r="F142" s="2" t="s">
        <v>10</v>
      </c>
      <c r="G142" s="2" t="s">
        <v>100</v>
      </c>
      <c r="H142" s="2" t="s">
        <v>3</v>
      </c>
      <c r="I142" s="4" t="s">
        <v>4</v>
      </c>
      <c r="J142" s="744"/>
      <c r="K142" s="2" t="s">
        <v>2398</v>
      </c>
      <c r="L142" s="27">
        <v>44300</v>
      </c>
      <c r="M142" s="2" t="s">
        <v>2399</v>
      </c>
      <c r="N142" s="2" t="s">
        <v>2400</v>
      </c>
      <c r="O142" s="5" t="s">
        <v>2416</v>
      </c>
      <c r="P142" s="2" t="s">
        <v>5</v>
      </c>
      <c r="Q142" s="2" t="s">
        <v>21</v>
      </c>
      <c r="R142" s="2" t="s">
        <v>20</v>
      </c>
      <c r="S142" s="2">
        <v>42</v>
      </c>
      <c r="T142" s="5" t="s">
        <v>2445</v>
      </c>
      <c r="U142" s="4" t="s">
        <v>2909</v>
      </c>
      <c r="V142" s="5" t="s">
        <v>1975</v>
      </c>
      <c r="W142" s="819">
        <v>-6.1634399999999996</v>
      </c>
      <c r="X142" s="819">
        <v>106.62672999999999</v>
      </c>
      <c r="Y142" s="5">
        <v>42</v>
      </c>
      <c r="Z142" s="5"/>
      <c r="AA142" s="5"/>
      <c r="AB142" s="5"/>
      <c r="AC142" s="40"/>
      <c r="AD142" s="5"/>
      <c r="AE142" s="5"/>
      <c r="AF142" s="30">
        <v>44589</v>
      </c>
      <c r="AG142" s="30" t="e">
        <f>VLOOKUP(Table13[[#This Row],[SONum]],[2]Worksheet1!$B$1:$Z$59,24,0)</f>
        <v>#N/A</v>
      </c>
      <c r="AH142" s="30" t="e">
        <f>VLOOKUP(Table13[[#This Row],[SONum]],[2]Worksheet1!$B$1:$Z$59,25,0)</f>
        <v>#N/A</v>
      </c>
      <c r="AI142" s="31"/>
      <c r="AJ142" s="22">
        <f ca="1">IF(Table13[[#This Row],[RFC Remark]]="DONE",Table13[[#This Row],[RFC Date]]-Table13[[#This Row],[STIP Date]],$AJ$2-Table13[[#This Row],[STIP Date]])</f>
        <v>534</v>
      </c>
      <c r="AK142" s="5"/>
      <c r="AL142" s="5"/>
      <c r="AM142" s="745">
        <f>_xlfn.DAYS(Table13[[#This Row],[RFC Projection]],Table13[[#This Row],[STIP Date]])</f>
        <v>289</v>
      </c>
      <c r="AN142" s="5" t="s">
        <v>174</v>
      </c>
      <c r="AO142" s="5" t="s">
        <v>172</v>
      </c>
      <c r="AP142" s="43" t="s">
        <v>2444</v>
      </c>
      <c r="AQ142" s="43" t="s">
        <v>2943</v>
      </c>
      <c r="AR142" s="43"/>
    </row>
    <row r="143" spans="1:44" ht="15" customHeight="1">
      <c r="A143" s="591" t="s">
        <v>2467</v>
      </c>
      <c r="B143" s="2" t="s">
        <v>2386</v>
      </c>
      <c r="C143" s="562" t="s">
        <v>2387</v>
      </c>
      <c r="D143" s="562" t="s">
        <v>2388</v>
      </c>
      <c r="E143" s="2" t="s">
        <v>2388</v>
      </c>
      <c r="F143" s="2" t="s">
        <v>10</v>
      </c>
      <c r="G143" s="2" t="s">
        <v>100</v>
      </c>
      <c r="H143" s="2" t="s">
        <v>3</v>
      </c>
      <c r="I143" s="4" t="s">
        <v>4</v>
      </c>
      <c r="J143" s="744"/>
      <c r="K143" s="2" t="s">
        <v>2395</v>
      </c>
      <c r="L143" s="27">
        <v>44300</v>
      </c>
      <c r="M143" s="2" t="s">
        <v>2396</v>
      </c>
      <c r="N143" s="2" t="s">
        <v>2397</v>
      </c>
      <c r="O143" s="5"/>
      <c r="P143" s="2" t="s">
        <v>11</v>
      </c>
      <c r="Q143" s="2" t="s">
        <v>638</v>
      </c>
      <c r="R143" s="2" t="s">
        <v>13</v>
      </c>
      <c r="S143" s="2">
        <v>32</v>
      </c>
      <c r="T143" s="497" t="s">
        <v>2148</v>
      </c>
      <c r="U143" s="4" t="s">
        <v>2908</v>
      </c>
      <c r="V143" s="5" t="s">
        <v>1975</v>
      </c>
      <c r="W143" s="5">
        <v>-6.4018600000000001</v>
      </c>
      <c r="X143" s="5">
        <v>107.1144</v>
      </c>
      <c r="Y143" s="5"/>
      <c r="Z143" s="5"/>
      <c r="AA143" s="5"/>
      <c r="AB143" s="5"/>
      <c r="AC143" s="40"/>
      <c r="AD143" s="5"/>
      <c r="AE143" s="5"/>
      <c r="AF143" s="30" t="e">
        <f>VLOOKUP(Table13[[#This Row],[SONum]],[2]Worksheet1!$B$1:$Z$59,23,0)</f>
        <v>#N/A</v>
      </c>
      <c r="AG143" s="30" t="e">
        <f>VLOOKUP(Table13[[#This Row],[SONum]],[2]Worksheet1!$B$1:$Z$59,24,0)</f>
        <v>#N/A</v>
      </c>
      <c r="AH143" s="30" t="e">
        <f>VLOOKUP(Table13[[#This Row],[SONum]],[2]Worksheet1!$B$1:$Z$59,25,0)</f>
        <v>#N/A</v>
      </c>
      <c r="AI143" s="31"/>
      <c r="AJ143" s="22">
        <f ca="1">IF(Table13[[#This Row],[RFC Remark]]="DONE",Table13[[#This Row],[RFC Date]]-Table13[[#This Row],[STIP Date]],$AJ$2-Table13[[#This Row],[STIP Date]])</f>
        <v>534</v>
      </c>
      <c r="AK143" s="5"/>
      <c r="AL143" s="5"/>
      <c r="AM143" s="745" t="e">
        <f>_xlfn.DAYS(Table13[[#This Row],[RFC Projection]],Table13[[#This Row],[STIP Date]])</f>
        <v>#N/A</v>
      </c>
      <c r="AN143" s="5" t="s">
        <v>174</v>
      </c>
      <c r="AO143" s="5" t="s">
        <v>2907</v>
      </c>
      <c r="AP143" s="43" t="s">
        <v>2529</v>
      </c>
      <c r="AQ143" s="43" t="s">
        <v>3049</v>
      </c>
      <c r="AR143" s="43"/>
    </row>
    <row r="144" spans="1:44" ht="15" hidden="1" customHeight="1">
      <c r="A144" s="634" t="s">
        <v>30</v>
      </c>
      <c r="B144" s="634" t="s">
        <v>113</v>
      </c>
      <c r="C144" s="635" t="s">
        <v>114</v>
      </c>
      <c r="D144" s="634" t="s">
        <v>31</v>
      </c>
      <c r="E144" s="634" t="s">
        <v>152</v>
      </c>
      <c r="F144" s="634" t="s">
        <v>10</v>
      </c>
      <c r="G144" s="636" t="s">
        <v>100</v>
      </c>
      <c r="H144" s="634" t="s">
        <v>16</v>
      </c>
      <c r="I144" s="634" t="s">
        <v>4</v>
      </c>
      <c r="J144" s="47">
        <v>2020</v>
      </c>
      <c r="K144" s="637" t="s">
        <v>571</v>
      </c>
      <c r="L144" s="638">
        <v>43844</v>
      </c>
      <c r="M144" s="637" t="s">
        <v>162</v>
      </c>
      <c r="N144" s="637" t="s">
        <v>572</v>
      </c>
      <c r="O144" s="637"/>
      <c r="P144" s="634" t="s">
        <v>5</v>
      </c>
      <c r="Q144" s="634" t="s">
        <v>6</v>
      </c>
      <c r="R144" s="634" t="s">
        <v>7</v>
      </c>
      <c r="S144" s="639">
        <v>20</v>
      </c>
      <c r="T144" s="637" t="s">
        <v>169</v>
      </c>
      <c r="U144" s="636" t="s">
        <v>2909</v>
      </c>
      <c r="V144" s="637"/>
      <c r="W144" s="637"/>
      <c r="X144" s="637"/>
      <c r="Y144" s="641">
        <v>20</v>
      </c>
      <c r="Z144" s="625"/>
      <c r="AA144" s="621"/>
      <c r="AB144" s="625"/>
      <c r="AC144" s="621"/>
      <c r="AD144" s="621" t="s">
        <v>319</v>
      </c>
      <c r="AE144" s="621" t="s">
        <v>171</v>
      </c>
      <c r="AF144" s="30" t="e">
        <f>VLOOKUP(Table13[[#This Row],[SONum]],[2]Worksheet1!$B$1:$Z$59,23,0)</f>
        <v>#N/A</v>
      </c>
      <c r="AG144" s="30" t="e">
        <f>VLOOKUP(Table13[[#This Row],[SONum]],[2]Worksheet1!$B$1:$Z$59,24,0)</f>
        <v>#N/A</v>
      </c>
      <c r="AH144" s="30" t="e">
        <f>VLOOKUP(Table13[[#This Row],[SONum]],[2]Worksheet1!$B$1:$Z$59,25,0)</f>
        <v>#N/A</v>
      </c>
      <c r="AI144" s="643"/>
      <c r="AJ144" s="546">
        <f ca="1">IF(Table13[[#This Row],[RFC Remark]]="DONE",Table13[[#This Row],[RFC Date]]-Table13[[#This Row],[STIP Date]],$AJ$2-Table13[[#This Row],[STIP Date]])</f>
        <v>990</v>
      </c>
      <c r="AK144" s="637"/>
      <c r="AL144" s="637"/>
      <c r="AM144" s="637" t="e">
        <f>_xlfn.DAYS(Table13[[#This Row],[RFC Projection]],Table13[[#This Row],[STIP Date]])</f>
        <v>#N/A</v>
      </c>
      <c r="AN144" s="482" t="s">
        <v>2944</v>
      </c>
      <c r="AO144" s="637" t="s">
        <v>2944</v>
      </c>
      <c r="AP144" s="629" t="s">
        <v>2233</v>
      </c>
      <c r="AQ144" s="496"/>
      <c r="AR144" s="637"/>
    </row>
    <row r="145" spans="1:44" ht="15" customHeight="1">
      <c r="A145" s="5" t="s">
        <v>2385</v>
      </c>
      <c r="B145" s="2" t="s">
        <v>2392</v>
      </c>
      <c r="C145" s="562" t="s">
        <v>2393</v>
      </c>
      <c r="D145" s="562" t="s">
        <v>2394</v>
      </c>
      <c r="E145" s="2" t="s">
        <v>2394</v>
      </c>
      <c r="F145" s="2" t="s">
        <v>10</v>
      </c>
      <c r="G145" s="2" t="s">
        <v>100</v>
      </c>
      <c r="H145" s="2" t="s">
        <v>3</v>
      </c>
      <c r="I145" s="4" t="s">
        <v>4</v>
      </c>
      <c r="J145" s="745"/>
      <c r="K145" s="2" t="s">
        <v>2401</v>
      </c>
      <c r="L145" s="27">
        <v>44300</v>
      </c>
      <c r="M145" s="2" t="s">
        <v>2402</v>
      </c>
      <c r="N145" s="2" t="s">
        <v>2403</v>
      </c>
      <c r="O145" s="5" t="s">
        <v>2464</v>
      </c>
      <c r="P145" s="2" t="s">
        <v>11</v>
      </c>
      <c r="Q145" s="2" t="s">
        <v>638</v>
      </c>
      <c r="R145" s="2" t="s">
        <v>13</v>
      </c>
      <c r="S145" s="2">
        <v>42</v>
      </c>
      <c r="T145" s="497" t="s">
        <v>169</v>
      </c>
      <c r="U145" s="4" t="s">
        <v>2908</v>
      </c>
      <c r="V145" s="5" t="s">
        <v>1975</v>
      </c>
      <c r="W145" s="5">
        <v>-6.4319199999999999</v>
      </c>
      <c r="X145" s="5">
        <v>107.07886999999999</v>
      </c>
      <c r="Y145" s="5"/>
      <c r="Z145" s="5"/>
      <c r="AA145" s="5"/>
      <c r="AB145" s="5"/>
      <c r="AC145" s="40"/>
      <c r="AD145" s="5"/>
      <c r="AE145" s="5"/>
      <c r="AF145" s="30" t="e">
        <f>VLOOKUP(Table13[[#This Row],[SONum]],[2]Worksheet1!$B$1:$Z$59,23,0)</f>
        <v>#N/A</v>
      </c>
      <c r="AG145" s="30" t="e">
        <f>VLOOKUP(Table13[[#This Row],[SONum]],[2]Worksheet1!$B$1:$Z$59,24,0)</f>
        <v>#N/A</v>
      </c>
      <c r="AH145" s="30" t="e">
        <f>VLOOKUP(Table13[[#This Row],[SONum]],[2]Worksheet1!$B$1:$Z$59,25,0)</f>
        <v>#N/A</v>
      </c>
      <c r="AI145" s="31">
        <v>44525</v>
      </c>
      <c r="AJ145" s="22">
        <f>IF(Table13[[#This Row],[RFC Remark]]="DONE",Table13[[#This Row],[RFC Date]]-Table13[[#This Row],[STIP Date]],$AJ$2-Table13[[#This Row],[STIP Date]])</f>
        <v>225</v>
      </c>
      <c r="AK145" s="5" t="s">
        <v>167</v>
      </c>
      <c r="AL145" s="5" t="str">
        <f>IF(Table13[[#This Row],[Aging RFC]]&lt;=85,"ONTIME","DELAY")</f>
        <v>DELAY</v>
      </c>
      <c r="AM145" s="745" t="e">
        <f>_xlfn.DAYS(Table13[[#This Row],[RFC Projection]],Table13[[#This Row],[STIP Date]])</f>
        <v>#N/A</v>
      </c>
      <c r="AN145" s="5" t="s">
        <v>311</v>
      </c>
      <c r="AO145" s="5" t="s">
        <v>173</v>
      </c>
      <c r="AP145" s="43" t="s">
        <v>2528</v>
      </c>
      <c r="AQ145" s="43" t="s">
        <v>3050</v>
      </c>
      <c r="AR145" s="43"/>
    </row>
    <row r="146" spans="1:44" ht="15" customHeight="1">
      <c r="A146" s="637" t="s">
        <v>2406</v>
      </c>
      <c r="B146" s="482" t="s">
        <v>2407</v>
      </c>
      <c r="C146" s="482" t="s">
        <v>2371</v>
      </c>
      <c r="D146" s="482" t="s">
        <v>2408</v>
      </c>
      <c r="E146" s="482" t="s">
        <v>2408</v>
      </c>
      <c r="F146" s="636" t="s">
        <v>10</v>
      </c>
      <c r="G146" s="636" t="s">
        <v>100</v>
      </c>
      <c r="H146" s="636" t="s">
        <v>54</v>
      </c>
      <c r="I146" s="636" t="s">
        <v>4</v>
      </c>
      <c r="J146" s="621"/>
      <c r="K146" s="482" t="s">
        <v>2409</v>
      </c>
      <c r="L146" s="759">
        <v>44305</v>
      </c>
      <c r="M146" s="760" t="s">
        <v>2410</v>
      </c>
      <c r="N146" s="760" t="s">
        <v>2411</v>
      </c>
      <c r="O146" s="637" t="s">
        <v>2459</v>
      </c>
      <c r="P146" s="482" t="s">
        <v>11</v>
      </c>
      <c r="Q146" s="482" t="s">
        <v>26</v>
      </c>
      <c r="R146" s="482" t="s">
        <v>13</v>
      </c>
      <c r="S146" s="482">
        <v>52</v>
      </c>
      <c r="T146" s="637" t="s">
        <v>221</v>
      </c>
      <c r="U146" s="637" t="s">
        <v>165</v>
      </c>
      <c r="V146" s="637" t="s">
        <v>178</v>
      </c>
      <c r="W146" s="637">
        <v>-6.64682</v>
      </c>
      <c r="X146" s="637">
        <v>106.64558</v>
      </c>
      <c r="Y146" s="637">
        <v>52</v>
      </c>
      <c r="Z146" s="621"/>
      <c r="AA146" s="621"/>
      <c r="AB146" s="621"/>
      <c r="AC146" s="625"/>
      <c r="AD146" s="621"/>
      <c r="AE146" s="621"/>
      <c r="AF146" s="643">
        <v>44406</v>
      </c>
      <c r="AG146" s="668">
        <v>44406</v>
      </c>
      <c r="AH146" s="643">
        <v>44417</v>
      </c>
      <c r="AI146" s="656">
        <v>44389</v>
      </c>
      <c r="AJ146" s="545">
        <f>IF(Table13[[#This Row],[RFC Remark]]="DONE",Table13[[#This Row],[RFC Date]]-Table13[[#This Row],[STIP Date]],$AJ$2-Table13[[#This Row],[STIP Date]])</f>
        <v>84</v>
      </c>
      <c r="AK146" s="637" t="s">
        <v>167</v>
      </c>
      <c r="AL146" s="5" t="str">
        <f>IF(Table13[[#This Row],[Aging RFC]]&lt;=85,"ONTIME","DELAY")</f>
        <v>ONTIME</v>
      </c>
      <c r="AM146" s="637"/>
      <c r="AN146" s="637" t="s">
        <v>311</v>
      </c>
      <c r="AO146" s="636" t="s">
        <v>173</v>
      </c>
      <c r="AP146" s="629"/>
      <c r="AQ146" s="496"/>
      <c r="AR146" s="496"/>
    </row>
    <row r="147" spans="1:44" ht="15" customHeight="1">
      <c r="A147" s="5" t="s">
        <v>2622</v>
      </c>
      <c r="B147" s="2" t="s">
        <v>2623</v>
      </c>
      <c r="C147" s="2" t="s">
        <v>2624</v>
      </c>
      <c r="D147" s="2" t="s">
        <v>2625</v>
      </c>
      <c r="E147" s="2" t="s">
        <v>2625</v>
      </c>
      <c r="F147" s="2" t="s">
        <v>2</v>
      </c>
      <c r="G147" s="2" t="s">
        <v>100</v>
      </c>
      <c r="H147" s="2" t="s">
        <v>867</v>
      </c>
      <c r="I147" s="2" t="s">
        <v>216</v>
      </c>
      <c r="J147" s="745"/>
      <c r="K147" s="2" t="s">
        <v>2626</v>
      </c>
      <c r="L147" s="28">
        <v>44314</v>
      </c>
      <c r="M147" s="2" t="s">
        <v>2627</v>
      </c>
      <c r="N147" s="2" t="s">
        <v>2628</v>
      </c>
      <c r="O147" s="2" t="s">
        <v>2546</v>
      </c>
      <c r="P147" s="2" t="s">
        <v>5</v>
      </c>
      <c r="Q147" s="2" t="s">
        <v>6</v>
      </c>
      <c r="R147" s="2" t="s">
        <v>7</v>
      </c>
      <c r="S147" s="2" t="s">
        <v>510</v>
      </c>
      <c r="T147" s="5" t="s">
        <v>169</v>
      </c>
      <c r="U147" s="4" t="s">
        <v>2909</v>
      </c>
      <c r="V147" s="5"/>
      <c r="W147" s="5"/>
      <c r="X147" s="5"/>
      <c r="Y147" s="5"/>
      <c r="Z147" s="5"/>
      <c r="AA147" s="5"/>
      <c r="AB147" s="5"/>
      <c r="AC147" s="40"/>
      <c r="AD147" s="5"/>
      <c r="AE147" s="5"/>
      <c r="AF147" s="30" t="e">
        <f>VLOOKUP(Table13[[#This Row],[SONum]],[2]Worksheet1!$B$1:$Z$59,23,0)</f>
        <v>#N/A</v>
      </c>
      <c r="AG147" s="30" t="e">
        <f>VLOOKUP(Table13[[#This Row],[SONum]],[2]Worksheet1!$B$1:$Z$59,24,0)</f>
        <v>#N/A</v>
      </c>
      <c r="AH147" s="30" t="e">
        <f>VLOOKUP(Table13[[#This Row],[SONum]],[2]Worksheet1!$B$1:$Z$59,25,0)</f>
        <v>#N/A</v>
      </c>
      <c r="AI147" s="31"/>
      <c r="AJ147" s="22">
        <f ca="1">IF(Table13[[#This Row],[RFC Remark]]="DONE",Table13[[#This Row],[RFC Date]]-Table13[[#This Row],[STIP Date]],$AJ$2-Table13[[#This Row],[STIP Date]])</f>
        <v>520</v>
      </c>
      <c r="AK147" s="5"/>
      <c r="AL147" s="5"/>
      <c r="AM147" s="745" t="e">
        <f>_xlfn.DAYS(Table13[[#This Row],[RFC Projection]],Table13[[#This Row],[STIP Date]])</f>
        <v>#N/A</v>
      </c>
      <c r="AN147" s="5" t="s">
        <v>312</v>
      </c>
      <c r="AO147" s="5" t="s">
        <v>2906</v>
      </c>
      <c r="AP147" s="43"/>
      <c r="AQ147" s="43" t="s">
        <v>3051</v>
      </c>
      <c r="AR147" s="43"/>
    </row>
    <row r="148" spans="1:44" ht="15" customHeight="1">
      <c r="A148" s="780" t="s">
        <v>2466</v>
      </c>
      <c r="B148" s="239" t="s">
        <v>2465</v>
      </c>
      <c r="C148" s="562" t="s">
        <v>2209</v>
      </c>
      <c r="D148" s="781" t="s">
        <v>2203</v>
      </c>
      <c r="E148" s="2" t="s">
        <v>2203</v>
      </c>
      <c r="F148" s="25" t="s">
        <v>10</v>
      </c>
      <c r="G148" s="2" t="s">
        <v>100</v>
      </c>
      <c r="H148" s="2" t="s">
        <v>3</v>
      </c>
      <c r="I148" s="2" t="s">
        <v>4</v>
      </c>
      <c r="J148" s="246"/>
      <c r="K148" s="2" t="s">
        <v>2468</v>
      </c>
      <c r="L148" s="28">
        <v>44369</v>
      </c>
      <c r="M148" s="782">
        <v>-6.1895300000000004</v>
      </c>
      <c r="N148" s="12">
        <v>106.57008500000001</v>
      </c>
      <c r="O148" s="5"/>
      <c r="P148" s="25" t="s">
        <v>11</v>
      </c>
      <c r="Q148" s="2" t="s">
        <v>21</v>
      </c>
      <c r="R148" s="2" t="s">
        <v>20</v>
      </c>
      <c r="S148" s="61"/>
      <c r="T148" s="497"/>
      <c r="U148" s="4" t="s">
        <v>2909</v>
      </c>
      <c r="V148" s="5" t="s">
        <v>2162</v>
      </c>
      <c r="W148" s="5">
        <v>-6.1928900000000002</v>
      </c>
      <c r="X148" s="5">
        <v>106.57163</v>
      </c>
      <c r="Y148" s="5"/>
      <c r="Z148" s="5"/>
      <c r="AA148" s="5"/>
      <c r="AB148" s="5"/>
      <c r="AC148" s="40"/>
      <c r="AD148" s="5"/>
      <c r="AE148" s="5"/>
      <c r="AF148" s="30">
        <v>44589</v>
      </c>
      <c r="AG148" s="30" t="e">
        <f>VLOOKUP(Table13[[#This Row],[SONum]],[2]Worksheet1!$B$1:$Z$59,24,0)</f>
        <v>#N/A</v>
      </c>
      <c r="AH148" s="30" t="e">
        <f>VLOOKUP(Table13[[#This Row],[SONum]],[2]Worksheet1!$B$1:$Z$59,25,0)</f>
        <v>#N/A</v>
      </c>
      <c r="AI148" s="31"/>
      <c r="AJ148" s="63">
        <f ca="1">IF(Table13[[#This Row],[RFC Remark]]="DONE",Table13[[#This Row],[RFC Date]]-Table13[[#This Row],[STIP Date]],$AJ$2-Table13[[#This Row],[STIP Date]])</f>
        <v>465</v>
      </c>
      <c r="AK148" s="5"/>
      <c r="AL148" s="5"/>
      <c r="AM148" s="745">
        <f>_xlfn.DAYS(Table13[[#This Row],[RFC Projection]],Table13[[#This Row],[STIP Date]])</f>
        <v>220</v>
      </c>
      <c r="AN148" s="5" t="s">
        <v>312</v>
      </c>
      <c r="AO148" s="5" t="s">
        <v>2906</v>
      </c>
      <c r="AP148" s="43" t="s">
        <v>2447</v>
      </c>
      <c r="AQ148" s="43"/>
      <c r="AR148" s="43"/>
    </row>
    <row r="149" spans="1:44" ht="15" customHeight="1">
      <c r="A149" s="5" t="s">
        <v>2599</v>
      </c>
      <c r="B149" s="2" t="s">
        <v>2603</v>
      </c>
      <c r="C149" s="2" t="s">
        <v>1218</v>
      </c>
      <c r="D149" s="2" t="s">
        <v>2607</v>
      </c>
      <c r="E149" s="2" t="s">
        <v>2607</v>
      </c>
      <c r="F149" s="2" t="s">
        <v>10</v>
      </c>
      <c r="G149" s="2" t="s">
        <v>100</v>
      </c>
      <c r="H149" s="5" t="s">
        <v>3</v>
      </c>
      <c r="I149" s="5" t="s">
        <v>216</v>
      </c>
      <c r="J149" s="745"/>
      <c r="K149" s="2" t="s">
        <v>2608</v>
      </c>
      <c r="L149" s="28">
        <v>44372</v>
      </c>
      <c r="M149" s="2" t="s">
        <v>2609</v>
      </c>
      <c r="N149" s="2" t="s">
        <v>2610</v>
      </c>
      <c r="O149" s="2" t="s">
        <v>2546</v>
      </c>
      <c r="P149" s="2" t="s">
        <v>5</v>
      </c>
      <c r="Q149" s="2" t="s">
        <v>6</v>
      </c>
      <c r="R149" s="2" t="s">
        <v>7</v>
      </c>
      <c r="S149" s="2" t="s">
        <v>2611</v>
      </c>
      <c r="T149" s="5" t="s">
        <v>2615</v>
      </c>
      <c r="U149" s="5"/>
      <c r="V149" s="5"/>
      <c r="W149" s="5"/>
      <c r="X149" s="5"/>
      <c r="Y149" s="5"/>
      <c r="Z149" s="5"/>
      <c r="AA149" s="5"/>
      <c r="AB149" s="5"/>
      <c r="AC149" s="40"/>
      <c r="AD149" s="5"/>
      <c r="AE149" s="5"/>
      <c r="AF149" s="30" t="e">
        <f>VLOOKUP(Table13[[#This Row],[SONum]],[2]Worksheet1!$B$1:$Z$59,23,0)</f>
        <v>#N/A</v>
      </c>
      <c r="AG149" s="30" t="e">
        <f>VLOOKUP(Table13[[#This Row],[SONum]],[2]Worksheet1!$B$1:$Z$59,24,0)</f>
        <v>#N/A</v>
      </c>
      <c r="AH149" s="30" t="e">
        <f>VLOOKUP(Table13[[#This Row],[SONum]],[2]Worksheet1!$B$1:$Z$59,25,0)</f>
        <v>#N/A</v>
      </c>
      <c r="AI149" s="31"/>
      <c r="AJ149" s="22">
        <f ca="1">IF(Table13[[#This Row],[RFC Remark]]="DONE",Table13[[#This Row],[RFC Date]]-Table13[[#This Row],[STIP Date]],$AJ$2-Table13[[#This Row],[STIP Date]])</f>
        <v>462</v>
      </c>
      <c r="AK149" s="5"/>
      <c r="AL149" s="5"/>
      <c r="AM149" s="750" t="e">
        <f>_xlfn.DAYS(Table13[[#This Row],[RFC Projection]],Table13[[#This Row],[STIP Date]])</f>
        <v>#N/A</v>
      </c>
      <c r="AN149" s="5" t="s">
        <v>173</v>
      </c>
      <c r="AO149" s="5" t="s">
        <v>2597</v>
      </c>
      <c r="AP149" s="43"/>
      <c r="AQ149" s="43" t="s">
        <v>3052</v>
      </c>
      <c r="AR149" s="43"/>
    </row>
    <row r="150" spans="1:44" ht="15" customHeight="1">
      <c r="A150" s="832" t="s">
        <v>2469</v>
      </c>
      <c r="B150" s="701" t="s">
        <v>2480</v>
      </c>
      <c r="C150" s="701" t="s">
        <v>2490</v>
      </c>
      <c r="D150" s="701" t="s">
        <v>2500</v>
      </c>
      <c r="E150" s="701" t="s">
        <v>2500</v>
      </c>
      <c r="F150" s="636" t="s">
        <v>10</v>
      </c>
      <c r="G150" s="636" t="s">
        <v>100</v>
      </c>
      <c r="H150" s="636" t="s">
        <v>54</v>
      </c>
      <c r="I150" s="636" t="s">
        <v>4</v>
      </c>
      <c r="J150" s="47">
        <v>2021</v>
      </c>
      <c r="K150" s="701" t="s">
        <v>2511</v>
      </c>
      <c r="L150" s="825">
        <v>44378.4355925579</v>
      </c>
      <c r="M150" s="773">
        <v>-6.1021869999999998</v>
      </c>
      <c r="N150" s="773">
        <v>106.663962</v>
      </c>
      <c r="O150" s="637" t="s">
        <v>2586</v>
      </c>
      <c r="P150" s="654" t="s">
        <v>11</v>
      </c>
      <c r="Q150" s="701" t="s">
        <v>19</v>
      </c>
      <c r="R150" s="701" t="s">
        <v>20</v>
      </c>
      <c r="S150" s="701">
        <v>42</v>
      </c>
      <c r="T150" s="637" t="s">
        <v>168</v>
      </c>
      <c r="U150" s="637"/>
      <c r="V150" s="637" t="s">
        <v>314</v>
      </c>
      <c r="W150" s="637">
        <v>-6.1014900000000001</v>
      </c>
      <c r="X150" s="637">
        <v>106.6643</v>
      </c>
      <c r="Y150" s="637">
        <v>32</v>
      </c>
      <c r="Z150" s="621"/>
      <c r="AA150" s="621"/>
      <c r="AB150" s="621"/>
      <c r="AC150" s="625"/>
      <c r="AD150" s="621"/>
      <c r="AE150" s="621"/>
      <c r="AF150" s="643">
        <v>44421</v>
      </c>
      <c r="AG150" s="668" t="s">
        <v>2589</v>
      </c>
      <c r="AH150" s="655">
        <v>44437</v>
      </c>
      <c r="AI150" s="656">
        <v>44421</v>
      </c>
      <c r="AJ150" s="545">
        <f>IF(Table13[[#This Row],[RFC Remark]]="DONE",Table13[[#This Row],[RFC Date]]-Table13[[#This Row],[STIP Date]],$AJ$2-Table13[[#This Row],[STIP Date]])</f>
        <v>42.564407442099764</v>
      </c>
      <c r="AK150" s="637" t="s">
        <v>167</v>
      </c>
      <c r="AL150" s="5" t="str">
        <f>IF(Table13[[#This Row],[Aging RFC]]&lt;=85,"ONTIME","DELAY")</f>
        <v>ONTIME</v>
      </c>
      <c r="AM150" s="49">
        <f>_xlfn.DAYS(Table13[[#This Row],[RFC Projection]],Table13[[#This Row],[STIP Date]])</f>
        <v>43</v>
      </c>
      <c r="AN150" s="636" t="s">
        <v>311</v>
      </c>
      <c r="AO150" s="636" t="s">
        <v>173</v>
      </c>
      <c r="AP150" s="629" t="s">
        <v>2523</v>
      </c>
      <c r="AQ150" s="496"/>
      <c r="AR150" s="496"/>
    </row>
    <row r="151" spans="1:44" ht="15" customHeight="1">
      <c r="A151" s="592" t="s">
        <v>2470</v>
      </c>
      <c r="B151" s="592" t="s">
        <v>2481</v>
      </c>
      <c r="C151" s="592" t="s">
        <v>2491</v>
      </c>
      <c r="D151" s="592" t="s">
        <v>2501</v>
      </c>
      <c r="E151" s="592" t="s">
        <v>2501</v>
      </c>
      <c r="F151" s="4" t="s">
        <v>10</v>
      </c>
      <c r="G151" s="4" t="s">
        <v>100</v>
      </c>
      <c r="H151" s="4" t="s">
        <v>54</v>
      </c>
      <c r="I151" s="4" t="s">
        <v>216</v>
      </c>
      <c r="J151" s="745">
        <v>2021</v>
      </c>
      <c r="K151" s="592" t="s">
        <v>2512</v>
      </c>
      <c r="L151" s="824">
        <v>44379.362872453697</v>
      </c>
      <c r="M151" s="594">
        <v>-6.1410999999999998</v>
      </c>
      <c r="N151" s="594">
        <v>106.76849</v>
      </c>
      <c r="O151" s="5"/>
      <c r="P151" s="467" t="s">
        <v>5</v>
      </c>
      <c r="Q151" s="592" t="s">
        <v>505</v>
      </c>
      <c r="R151" s="592" t="s">
        <v>7</v>
      </c>
      <c r="S151" s="592">
        <v>32</v>
      </c>
      <c r="T151" s="5" t="s">
        <v>169</v>
      </c>
      <c r="U151" s="4" t="s">
        <v>2909</v>
      </c>
      <c r="V151" s="5"/>
      <c r="W151" s="5">
        <v>-6.1407400000000001</v>
      </c>
      <c r="X151" s="5">
        <v>106.76886</v>
      </c>
      <c r="Y151" s="5"/>
      <c r="Z151" s="5"/>
      <c r="AA151" s="5"/>
      <c r="AB151" s="5"/>
      <c r="AC151" s="40"/>
      <c r="AD151" s="5"/>
      <c r="AE151" s="5"/>
      <c r="AF151" s="30" t="e">
        <f>VLOOKUP(Table13[[#This Row],[SONum]],[2]Worksheet1!$B$1:$Z$59,23,0)</f>
        <v>#N/A</v>
      </c>
      <c r="AG151" s="30" t="e">
        <f>VLOOKUP(Table13[[#This Row],[SONum]],[2]Worksheet1!$B$1:$Z$59,24,0)</f>
        <v>#N/A</v>
      </c>
      <c r="AH151" s="30" t="e">
        <f>VLOOKUP(Table13[[#This Row],[SONum]],[2]Worksheet1!$B$1:$Z$59,25,0)</f>
        <v>#N/A</v>
      </c>
      <c r="AI151" s="31">
        <v>44530</v>
      </c>
      <c r="AJ151" s="22">
        <f>IF(Table13[[#This Row],[RFC Remark]]="DONE",Table13[[#This Row],[RFC Date]]-Table13[[#This Row],[STIP Date]],$AJ$2-Table13[[#This Row],[STIP Date]])</f>
        <v>150.63712754630251</v>
      </c>
      <c r="AK151" s="5" t="s">
        <v>167</v>
      </c>
      <c r="AL151" s="5"/>
      <c r="AM151" s="745" t="e">
        <f>_xlfn.DAYS(Table13[[#This Row],[RFC Projection]],Table13[[#This Row],[STIP Date]])</f>
        <v>#N/A</v>
      </c>
      <c r="AN151" s="4" t="s">
        <v>173</v>
      </c>
      <c r="AO151" s="4" t="s">
        <v>173</v>
      </c>
      <c r="AP151" s="43" t="s">
        <v>2524</v>
      </c>
      <c r="AQ151" s="43" t="s">
        <v>3053</v>
      </c>
      <c r="AR151" s="43"/>
    </row>
    <row r="152" spans="1:44" ht="15" customHeight="1">
      <c r="A152" s="701" t="s">
        <v>2472</v>
      </c>
      <c r="B152" s="701" t="s">
        <v>2483</v>
      </c>
      <c r="C152" s="701" t="s">
        <v>2493</v>
      </c>
      <c r="D152" s="701" t="s">
        <v>2503</v>
      </c>
      <c r="E152" s="701" t="s">
        <v>2503</v>
      </c>
      <c r="F152" s="636" t="s">
        <v>10</v>
      </c>
      <c r="G152" s="636" t="s">
        <v>100</v>
      </c>
      <c r="H152" s="636" t="s">
        <v>54</v>
      </c>
      <c r="I152" s="636" t="s">
        <v>216</v>
      </c>
      <c r="J152" s="47">
        <v>2021</v>
      </c>
      <c r="K152" s="701" t="s">
        <v>2514</v>
      </c>
      <c r="L152" s="825">
        <v>44379.677933680599</v>
      </c>
      <c r="M152" s="773">
        <v>-6.1100209999999997</v>
      </c>
      <c r="N152" s="773">
        <v>106.71092</v>
      </c>
      <c r="O152" s="637"/>
      <c r="P152" s="654" t="s">
        <v>5</v>
      </c>
      <c r="Q152" s="701" t="s">
        <v>505</v>
      </c>
      <c r="R152" s="701" t="s">
        <v>7</v>
      </c>
      <c r="S152" s="701">
        <v>32</v>
      </c>
      <c r="T152" s="637" t="s">
        <v>169</v>
      </c>
      <c r="U152" s="637"/>
      <c r="V152" s="637"/>
      <c r="W152" s="637"/>
      <c r="X152" s="637"/>
      <c r="Y152" s="637"/>
      <c r="Z152" s="621"/>
      <c r="AA152" s="621"/>
      <c r="AB152" s="621"/>
      <c r="AC152" s="625"/>
      <c r="AD152" s="621"/>
      <c r="AE152" s="621"/>
      <c r="AF152" s="643">
        <v>44447</v>
      </c>
      <c r="AG152" s="772" t="s">
        <v>2588</v>
      </c>
      <c r="AH152" s="655">
        <v>44467</v>
      </c>
      <c r="AI152" s="643">
        <v>44438</v>
      </c>
      <c r="AJ152" s="545">
        <f>IF(Table13[[#This Row],[RFC Remark]]="DONE",Table13[[#This Row],[RFC Date]]-Table13[[#This Row],[STIP Date]],$AJ$2-Table13[[#This Row],[STIP Date]])</f>
        <v>58.322066319400619</v>
      </c>
      <c r="AK152" s="637" t="s">
        <v>167</v>
      </c>
      <c r="AL152" s="637"/>
      <c r="AM152" s="637">
        <f>_xlfn.DAYS(Table13[[#This Row],[RFC Projection]],Table13[[#This Row],[STIP Date]])</f>
        <v>68</v>
      </c>
      <c r="AN152" s="636" t="s">
        <v>311</v>
      </c>
      <c r="AO152" s="636" t="s">
        <v>173</v>
      </c>
      <c r="AP152" s="820" t="s">
        <v>2530</v>
      </c>
      <c r="AQ152" s="496"/>
      <c r="AR152" s="496"/>
    </row>
    <row r="153" spans="1:44" ht="15" customHeight="1">
      <c r="A153" s="592" t="s">
        <v>2471</v>
      </c>
      <c r="B153" s="592" t="s">
        <v>2482</v>
      </c>
      <c r="C153" s="592" t="s">
        <v>2492</v>
      </c>
      <c r="D153" s="592" t="s">
        <v>2502</v>
      </c>
      <c r="E153" s="592" t="s">
        <v>2502</v>
      </c>
      <c r="F153" s="4" t="s">
        <v>10</v>
      </c>
      <c r="G153" s="4" t="s">
        <v>100</v>
      </c>
      <c r="H153" s="4" t="s">
        <v>54</v>
      </c>
      <c r="I153" s="4" t="s">
        <v>216</v>
      </c>
      <c r="J153" s="745">
        <v>2021</v>
      </c>
      <c r="K153" s="592" t="s">
        <v>2513</v>
      </c>
      <c r="L153" s="824">
        <v>44379.364184722202</v>
      </c>
      <c r="M153" s="594">
        <v>-6.1510340000000001</v>
      </c>
      <c r="N153" s="594">
        <v>106.795839</v>
      </c>
      <c r="O153" s="5"/>
      <c r="P153" s="467" t="s">
        <v>5</v>
      </c>
      <c r="Q153" s="592" t="s">
        <v>505</v>
      </c>
      <c r="R153" s="592" t="s">
        <v>7</v>
      </c>
      <c r="S153" s="592">
        <v>32</v>
      </c>
      <c r="T153" s="5" t="s">
        <v>169</v>
      </c>
      <c r="U153" s="4" t="s">
        <v>2909</v>
      </c>
      <c r="V153" s="5"/>
      <c r="W153" s="5">
        <v>-6.15219</v>
      </c>
      <c r="X153" s="5">
        <v>106.79555999999999</v>
      </c>
      <c r="Y153" s="5"/>
      <c r="Z153" s="5"/>
      <c r="AA153" s="5"/>
      <c r="AB153" s="5"/>
      <c r="AC153" s="40"/>
      <c r="AD153" s="5"/>
      <c r="AE153" s="5"/>
      <c r="AF153" s="30" t="e">
        <f>VLOOKUP(Table13[[#This Row],[SONum]],[2]Worksheet1!$B$1:$Z$59,23,0)</f>
        <v>#N/A</v>
      </c>
      <c r="AG153" s="30" t="e">
        <f>VLOOKUP(Table13[[#This Row],[SONum]],[2]Worksheet1!$B$1:$Z$59,24,0)</f>
        <v>#N/A</v>
      </c>
      <c r="AH153" s="30" t="e">
        <f>VLOOKUP(Table13[[#This Row],[SONum]],[2]Worksheet1!$B$1:$Z$59,25,0)</f>
        <v>#N/A</v>
      </c>
      <c r="AI153" s="31">
        <v>44533</v>
      </c>
      <c r="AJ153" s="22">
        <f>IF(Table13[[#This Row],[RFC Remark]]="DONE",Table13[[#This Row],[RFC Date]]-Table13[[#This Row],[STIP Date]],$AJ$2-Table13[[#This Row],[STIP Date]])</f>
        <v>153.63581527779752</v>
      </c>
      <c r="AK153" s="5" t="s">
        <v>167</v>
      </c>
      <c r="AL153" s="5"/>
      <c r="AM153" s="745" t="e">
        <f>_xlfn.DAYS(Table13[[#This Row],[RFC Projection]],Table13[[#This Row],[STIP Date]])</f>
        <v>#N/A</v>
      </c>
      <c r="AN153" s="4" t="s">
        <v>173</v>
      </c>
      <c r="AO153" s="4" t="s">
        <v>173</v>
      </c>
      <c r="AP153" s="43" t="s">
        <v>2525</v>
      </c>
      <c r="AQ153" s="43" t="s">
        <v>3054</v>
      </c>
      <c r="AR153" s="43"/>
    </row>
    <row r="154" spans="1:44" ht="15" customHeight="1">
      <c r="A154" s="592" t="s">
        <v>2473</v>
      </c>
      <c r="B154" s="592" t="s">
        <v>2484</v>
      </c>
      <c r="C154" s="592" t="s">
        <v>2494</v>
      </c>
      <c r="D154" s="592" t="s">
        <v>2504</v>
      </c>
      <c r="E154" s="592" t="s">
        <v>2504</v>
      </c>
      <c r="F154" s="4" t="s">
        <v>10</v>
      </c>
      <c r="G154" s="4" t="s">
        <v>100</v>
      </c>
      <c r="H154" s="4" t="s">
        <v>54</v>
      </c>
      <c r="I154" s="4" t="s">
        <v>216</v>
      </c>
      <c r="J154" s="745">
        <v>2021</v>
      </c>
      <c r="K154" s="592" t="s">
        <v>2515</v>
      </c>
      <c r="L154" s="824">
        <v>44379.677942326402</v>
      </c>
      <c r="M154" s="594">
        <v>-6.1301350000000001</v>
      </c>
      <c r="N154" s="594">
        <v>106.79772</v>
      </c>
      <c r="O154" s="5"/>
      <c r="P154" s="467" t="s">
        <v>5</v>
      </c>
      <c r="Q154" s="592" t="s">
        <v>6</v>
      </c>
      <c r="R154" s="592" t="s">
        <v>7</v>
      </c>
      <c r="S154" s="592">
        <v>32</v>
      </c>
      <c r="T154" s="5" t="s">
        <v>169</v>
      </c>
      <c r="U154" s="4" t="s">
        <v>2909</v>
      </c>
      <c r="V154" s="5"/>
      <c r="W154" s="5">
        <v>-6.1299900000000003</v>
      </c>
      <c r="X154" s="5">
        <v>106.79785</v>
      </c>
      <c r="Y154" s="5"/>
      <c r="Z154" s="5"/>
      <c r="AA154" s="5"/>
      <c r="AB154" s="5"/>
      <c r="AC154" s="40"/>
      <c r="AD154" s="5"/>
      <c r="AE154" s="5"/>
      <c r="AF154" s="30" t="e">
        <f>VLOOKUP(Table13[[#This Row],[SONum]],[2]Worksheet1!$B$1:$Z$59,23,0)</f>
        <v>#N/A</v>
      </c>
      <c r="AG154" s="30" t="e">
        <f>VLOOKUP(Table13[[#This Row],[SONum]],[2]Worksheet1!$B$1:$Z$59,24,0)</f>
        <v>#N/A</v>
      </c>
      <c r="AH154" s="30" t="e">
        <f>VLOOKUP(Table13[[#This Row],[SONum]],[2]Worksheet1!$B$1:$Z$59,25,0)</f>
        <v>#N/A</v>
      </c>
      <c r="AI154" s="31">
        <v>44531</v>
      </c>
      <c r="AJ154" s="22">
        <f>IF(Table13[[#This Row],[RFC Remark]]="DONE",Table13[[#This Row],[RFC Date]]-Table13[[#This Row],[STIP Date]],$AJ$2-Table13[[#This Row],[STIP Date]])</f>
        <v>151.32205767359847</v>
      </c>
      <c r="AK154" s="5" t="s">
        <v>167</v>
      </c>
      <c r="AL154" s="5"/>
      <c r="AM154" s="745" t="e">
        <f>_xlfn.DAYS(Table13[[#This Row],[RFC Projection]],Table13[[#This Row],[STIP Date]])</f>
        <v>#N/A</v>
      </c>
      <c r="AN154" s="4" t="s">
        <v>173</v>
      </c>
      <c r="AO154" s="4" t="s">
        <v>173</v>
      </c>
      <c r="AP154" s="597" t="s">
        <v>2531</v>
      </c>
      <c r="AQ154" s="43"/>
      <c r="AR154" s="43"/>
    </row>
    <row r="155" spans="1:44" ht="15" customHeight="1">
      <c r="A155" s="592" t="s">
        <v>2474</v>
      </c>
      <c r="B155" s="592" t="s">
        <v>2485</v>
      </c>
      <c r="C155" s="592" t="s">
        <v>2495</v>
      </c>
      <c r="D155" s="592" t="s">
        <v>2505</v>
      </c>
      <c r="E155" s="592" t="s">
        <v>2505</v>
      </c>
      <c r="F155" s="4" t="s">
        <v>10</v>
      </c>
      <c r="G155" s="4" t="s">
        <v>100</v>
      </c>
      <c r="H155" s="4" t="s">
        <v>54</v>
      </c>
      <c r="I155" s="4" t="s">
        <v>4</v>
      </c>
      <c r="J155" s="745">
        <v>2021</v>
      </c>
      <c r="K155" s="592" t="s">
        <v>2516</v>
      </c>
      <c r="L155" s="824">
        <v>44383.280224340298</v>
      </c>
      <c r="M155" s="594">
        <v>-6.1371099999999998</v>
      </c>
      <c r="N155" s="594">
        <v>106.74878200000001</v>
      </c>
      <c r="O155" s="5" t="s">
        <v>3189</v>
      </c>
      <c r="P155" s="467" t="s">
        <v>5</v>
      </c>
      <c r="Q155" s="592" t="s">
        <v>505</v>
      </c>
      <c r="R155" s="592" t="s">
        <v>7</v>
      </c>
      <c r="S155" s="592">
        <v>32</v>
      </c>
      <c r="T155" s="5" t="s">
        <v>169</v>
      </c>
      <c r="U155" s="4" t="s">
        <v>2909</v>
      </c>
      <c r="V155" s="5" t="s">
        <v>179</v>
      </c>
      <c r="W155" s="813">
        <v>-6.1372</v>
      </c>
      <c r="X155" s="813">
        <v>106.74818999999999</v>
      </c>
      <c r="Y155" s="5">
        <v>25</v>
      </c>
      <c r="Z155" s="5"/>
      <c r="AA155" s="5"/>
      <c r="AB155" s="5"/>
      <c r="AC155" s="40"/>
      <c r="AD155" s="5"/>
      <c r="AE155" s="5"/>
      <c r="AF155" s="31">
        <v>44498</v>
      </c>
      <c r="AG155" s="34">
        <v>44498</v>
      </c>
      <c r="AH155" s="517">
        <v>44528</v>
      </c>
      <c r="AI155" s="31">
        <v>44500</v>
      </c>
      <c r="AJ155" s="22">
        <f>IF(Table13[[#This Row],[RFC Remark]]="DONE",Table13[[#This Row],[RFC Date]]-Table13[[#This Row],[STIP Date]],$AJ$2-Table13[[#This Row],[STIP Date]])</f>
        <v>116.71977565970155</v>
      </c>
      <c r="AK155" s="5" t="s">
        <v>167</v>
      </c>
      <c r="AL155" s="5" t="str">
        <f>IF(Table13[[#This Row],[Aging RFC]]&lt;=85,"ONTIME","DELAY")</f>
        <v>DELAY</v>
      </c>
      <c r="AM155" s="745">
        <f>_xlfn.DAYS(Table13[[#This Row],[RFC Projection]],Table13[[#This Row],[STIP Date]])</f>
        <v>115</v>
      </c>
      <c r="AN155" s="5" t="s">
        <v>311</v>
      </c>
      <c r="AO155" s="5" t="s">
        <v>173</v>
      </c>
      <c r="AP155" s="597" t="s">
        <v>2531</v>
      </c>
      <c r="AQ155" s="43" t="s">
        <v>3178</v>
      </c>
      <c r="AR155" s="43"/>
    </row>
    <row r="156" spans="1:44" ht="15" customHeight="1">
      <c r="A156" s="592" t="s">
        <v>2475</v>
      </c>
      <c r="B156" s="592" t="s">
        <v>2486</v>
      </c>
      <c r="C156" s="592" t="s">
        <v>2496</v>
      </c>
      <c r="D156" s="592" t="s">
        <v>2506</v>
      </c>
      <c r="E156" s="592" t="s">
        <v>2506</v>
      </c>
      <c r="F156" s="4" t="s">
        <v>10</v>
      </c>
      <c r="G156" s="4" t="s">
        <v>100</v>
      </c>
      <c r="H156" s="4" t="s">
        <v>54</v>
      </c>
      <c r="I156" s="4" t="s">
        <v>4</v>
      </c>
      <c r="J156" s="745">
        <v>2021</v>
      </c>
      <c r="K156" s="592" t="s">
        <v>2517</v>
      </c>
      <c r="L156" s="824">
        <v>44383.280226701398</v>
      </c>
      <c r="M156" s="594">
        <v>-6.1343959999999997</v>
      </c>
      <c r="N156" s="594">
        <v>106.745604</v>
      </c>
      <c r="O156" s="5"/>
      <c r="P156" s="467" t="s">
        <v>5</v>
      </c>
      <c r="Q156" s="592" t="s">
        <v>505</v>
      </c>
      <c r="R156" s="592" t="s">
        <v>7</v>
      </c>
      <c r="S156" s="592">
        <v>32</v>
      </c>
      <c r="T156" s="5" t="s">
        <v>169</v>
      </c>
      <c r="U156" s="4" t="s">
        <v>2909</v>
      </c>
      <c r="V156" s="5"/>
      <c r="W156" s="5">
        <v>-6.1341000000000001</v>
      </c>
      <c r="X156" s="5">
        <v>106.74643</v>
      </c>
      <c r="Y156" s="5"/>
      <c r="Z156" s="5"/>
      <c r="AA156" s="5"/>
      <c r="AB156" s="5"/>
      <c r="AC156" s="40"/>
      <c r="AD156" s="5"/>
      <c r="AE156" s="5"/>
      <c r="AF156" s="30">
        <v>44585</v>
      </c>
      <c r="AG156" s="30" t="e">
        <f>VLOOKUP(Table13[[#This Row],[SONum]],[2]Worksheet1!$B$1:$Z$59,24,0)</f>
        <v>#N/A</v>
      </c>
      <c r="AH156" s="30" t="e">
        <f>VLOOKUP(Table13[[#This Row],[SONum]],[2]Worksheet1!$B$1:$Z$59,25,0)</f>
        <v>#N/A</v>
      </c>
      <c r="AI156" s="31"/>
      <c r="AJ156" s="22">
        <f ca="1">IF(Table13[[#This Row],[RFC Remark]]="DONE",Table13[[#This Row],[RFC Date]]-Table13[[#This Row],[STIP Date]],$AJ$2-Table13[[#This Row],[STIP Date]])</f>
        <v>450.71977329860238</v>
      </c>
      <c r="AK156" s="5"/>
      <c r="AL156" s="5"/>
      <c r="AM156" s="745">
        <f>_xlfn.DAYS(Table13[[#This Row],[RFC Projection]],Table13[[#This Row],[STIP Date]])</f>
        <v>202</v>
      </c>
      <c r="AN156" s="4" t="s">
        <v>312</v>
      </c>
      <c r="AO156" s="5" t="s">
        <v>2075</v>
      </c>
      <c r="AP156" s="597" t="s">
        <v>2532</v>
      </c>
      <c r="AQ156" s="43" t="s">
        <v>3055</v>
      </c>
      <c r="AR156" s="43"/>
    </row>
    <row r="157" spans="1:44" ht="15" customHeight="1">
      <c r="A157" s="592" t="s">
        <v>2476</v>
      </c>
      <c r="B157" s="592" t="s">
        <v>2487</v>
      </c>
      <c r="C157" s="592" t="s">
        <v>488</v>
      </c>
      <c r="D157" s="592" t="s">
        <v>2507</v>
      </c>
      <c r="E157" s="592" t="s">
        <v>2507</v>
      </c>
      <c r="F157" s="4" t="s">
        <v>10</v>
      </c>
      <c r="G157" s="4" t="s">
        <v>100</v>
      </c>
      <c r="H157" s="4" t="s">
        <v>54</v>
      </c>
      <c r="I157" s="4" t="s">
        <v>4</v>
      </c>
      <c r="J157" s="745">
        <v>2021</v>
      </c>
      <c r="K157" s="592" t="s">
        <v>2518</v>
      </c>
      <c r="L157" s="824">
        <v>44383.280253044002</v>
      </c>
      <c r="M157" s="594">
        <v>-6.1987629999999996</v>
      </c>
      <c r="N157" s="594">
        <v>106.68875199999999</v>
      </c>
      <c r="O157" s="5" t="s">
        <v>3315</v>
      </c>
      <c r="P157" s="467" t="s">
        <v>5</v>
      </c>
      <c r="Q157" s="592" t="s">
        <v>21</v>
      </c>
      <c r="R157" s="592" t="s">
        <v>20</v>
      </c>
      <c r="S157" s="592">
        <v>32</v>
      </c>
      <c r="T157" s="5" t="s">
        <v>2855</v>
      </c>
      <c r="U157" s="4" t="s">
        <v>2909</v>
      </c>
      <c r="V157" s="5" t="s">
        <v>1978</v>
      </c>
      <c r="W157" s="5">
        <v>-6.1974099999999996</v>
      </c>
      <c r="X157" s="5">
        <v>106.68600000000001</v>
      </c>
      <c r="Y157" s="5">
        <v>42</v>
      </c>
      <c r="Z157" s="5"/>
      <c r="AA157" s="5"/>
      <c r="AB157" s="5"/>
      <c r="AC157" s="40"/>
      <c r="AD157" s="5"/>
      <c r="AE157" s="5"/>
      <c r="AF157" s="30">
        <v>44577</v>
      </c>
      <c r="AG157" s="30" t="e">
        <f>VLOOKUP(Table13[[#This Row],[SONum]],[2]Worksheet1!$B$1:$Z$59,24,0)</f>
        <v>#N/A</v>
      </c>
      <c r="AH157" s="30" t="e">
        <f>VLOOKUP(Table13[[#This Row],[SONum]],[2]Worksheet1!$B$1:$Z$59,25,0)</f>
        <v>#N/A</v>
      </c>
      <c r="AI157" s="31"/>
      <c r="AJ157" s="22">
        <f ca="1">IF(Table13[[#This Row],[RFC Remark]]="DONE",Table13[[#This Row],[RFC Date]]-Table13[[#This Row],[STIP Date]],$AJ$2-Table13[[#This Row],[STIP Date]])</f>
        <v>450.71974695599783</v>
      </c>
      <c r="AK157" s="5"/>
      <c r="AL157" s="5"/>
      <c r="AM157" s="745">
        <f>_xlfn.DAYS(Table13[[#This Row],[RFC Projection]],Table13[[#This Row],[STIP Date]])</f>
        <v>194</v>
      </c>
      <c r="AN157" s="4" t="s">
        <v>174</v>
      </c>
      <c r="AO157" s="4" t="s">
        <v>2169</v>
      </c>
      <c r="AP157" s="597" t="s">
        <v>2533</v>
      </c>
      <c r="AQ157" s="43" t="s">
        <v>3056</v>
      </c>
      <c r="AR157" s="43"/>
    </row>
    <row r="158" spans="1:44" ht="15" customHeight="1">
      <c r="A158" s="592" t="s">
        <v>2477</v>
      </c>
      <c r="B158" s="592" t="s">
        <v>2488</v>
      </c>
      <c r="C158" s="592" t="s">
        <v>2497</v>
      </c>
      <c r="D158" s="592" t="s">
        <v>2508</v>
      </c>
      <c r="E158" s="592" t="s">
        <v>2508</v>
      </c>
      <c r="F158" s="4" t="s">
        <v>10</v>
      </c>
      <c r="G158" s="4" t="s">
        <v>100</v>
      </c>
      <c r="H158" s="4" t="s">
        <v>54</v>
      </c>
      <c r="I158" s="4" t="s">
        <v>4</v>
      </c>
      <c r="J158" s="745">
        <v>2021</v>
      </c>
      <c r="K158" s="592" t="s">
        <v>2519</v>
      </c>
      <c r="L158" s="824">
        <v>44383.2802548611</v>
      </c>
      <c r="M158" s="594">
        <v>-6.1336320000000004</v>
      </c>
      <c r="N158" s="594">
        <v>106.84193399999999</v>
      </c>
      <c r="O158" s="5" t="s">
        <v>3079</v>
      </c>
      <c r="P158" s="467" t="s">
        <v>5</v>
      </c>
      <c r="Q158" s="592" t="s">
        <v>6</v>
      </c>
      <c r="R158" s="592" t="s">
        <v>7</v>
      </c>
      <c r="S158" s="592">
        <v>32</v>
      </c>
      <c r="T158" s="5" t="s">
        <v>169</v>
      </c>
      <c r="U158" s="4" t="s">
        <v>2909</v>
      </c>
      <c r="V158" s="4" t="s">
        <v>178</v>
      </c>
      <c r="W158" s="819">
        <v>-6.1341000000000001</v>
      </c>
      <c r="X158" s="819">
        <v>106.84213</v>
      </c>
      <c r="Y158" s="5">
        <v>25</v>
      </c>
      <c r="Z158" s="5"/>
      <c r="AA158" s="5"/>
      <c r="AB158" s="5"/>
      <c r="AC158" s="40"/>
      <c r="AD158" s="5"/>
      <c r="AE158" s="5"/>
      <c r="AF158" s="31">
        <v>44500</v>
      </c>
      <c r="AG158" s="34">
        <v>44500</v>
      </c>
      <c r="AH158" s="517">
        <v>44530</v>
      </c>
      <c r="AI158" s="31">
        <v>44498</v>
      </c>
      <c r="AJ158" s="22">
        <f>IF(Table13[[#This Row],[RFC Remark]]="DONE",Table13[[#This Row],[RFC Date]]-Table13[[#This Row],[STIP Date]],$AJ$2-Table13[[#This Row],[STIP Date]])</f>
        <v>114.71974513890018</v>
      </c>
      <c r="AK158" s="5" t="s">
        <v>167</v>
      </c>
      <c r="AL158" s="5" t="str">
        <f>IF(Table13[[#This Row],[Aging RFC]]&lt;=85,"ONTIME","DELAY")</f>
        <v>DELAY</v>
      </c>
      <c r="AM158" s="745">
        <f>_xlfn.DAYS(Table13[[#This Row],[RFC Projection]],Table13[[#This Row],[STIP Date]])</f>
        <v>117</v>
      </c>
      <c r="AN158" s="5" t="s">
        <v>311</v>
      </c>
      <c r="AO158" s="4" t="s">
        <v>173</v>
      </c>
      <c r="AP158" s="597" t="s">
        <v>2534</v>
      </c>
      <c r="AQ158" s="43" t="s">
        <v>3179</v>
      </c>
      <c r="AR158" s="43"/>
    </row>
    <row r="159" spans="1:44" ht="15" customHeight="1">
      <c r="A159" s="774" t="s">
        <v>2479</v>
      </c>
      <c r="B159" s="774">
        <v>1272131023</v>
      </c>
      <c r="C159" s="774" t="s">
        <v>2499</v>
      </c>
      <c r="D159" s="774" t="s">
        <v>2510</v>
      </c>
      <c r="E159" s="774" t="s">
        <v>2510</v>
      </c>
      <c r="F159" s="619" t="s">
        <v>10</v>
      </c>
      <c r="G159" s="619" t="s">
        <v>100</v>
      </c>
      <c r="H159" s="619" t="s">
        <v>54</v>
      </c>
      <c r="I159" s="619" t="s">
        <v>4</v>
      </c>
      <c r="J159" s="47">
        <v>2021</v>
      </c>
      <c r="K159" s="774" t="s">
        <v>2521</v>
      </c>
      <c r="L159" s="826">
        <v>44383.280272222197</v>
      </c>
      <c r="M159" s="775">
        <v>-6.8767699999999996</v>
      </c>
      <c r="N159" s="775">
        <v>106.672583</v>
      </c>
      <c r="O159" s="621" t="s">
        <v>2651</v>
      </c>
      <c r="P159" s="650" t="s">
        <v>11</v>
      </c>
      <c r="Q159" s="774" t="s">
        <v>12</v>
      </c>
      <c r="R159" s="774" t="s">
        <v>13</v>
      </c>
      <c r="S159" s="774">
        <v>72</v>
      </c>
      <c r="T159" s="621" t="s">
        <v>168</v>
      </c>
      <c r="U159" s="621"/>
      <c r="V159" s="621" t="s">
        <v>314</v>
      </c>
      <c r="W159" s="621">
        <v>-6.88218</v>
      </c>
      <c r="X159" s="621">
        <v>106.66994</v>
      </c>
      <c r="Y159" s="621">
        <v>72</v>
      </c>
      <c r="Z159" s="621"/>
      <c r="AA159" s="621"/>
      <c r="AB159" s="621"/>
      <c r="AC159" s="625"/>
      <c r="AD159" s="621"/>
      <c r="AE159" s="621"/>
      <c r="AF159" s="626">
        <v>44439</v>
      </c>
      <c r="AG159" s="652" t="s">
        <v>2589</v>
      </c>
      <c r="AH159" s="646">
        <v>44469</v>
      </c>
      <c r="AI159" s="626">
        <v>44440</v>
      </c>
      <c r="AJ159" s="698">
        <f>IF(Table13[[#This Row],[RFC Remark]]="DONE",Table13[[#This Row],[RFC Date]]-Table13[[#This Row],[STIP Date]],$AJ$2-Table13[[#This Row],[STIP Date]])</f>
        <v>56.7197277778032</v>
      </c>
      <c r="AK159" s="621" t="s">
        <v>167</v>
      </c>
      <c r="AL159" s="5" t="str">
        <f>IF(Table13[[#This Row],[Aging RFC]]&lt;=85,"ONTIME","DELAY")</f>
        <v>ONTIME</v>
      </c>
      <c r="AM159" s="621">
        <f>_xlfn.DAYS(Table13[[#This Row],[RFC Projection]],Table13[[#This Row],[STIP Date]])</f>
        <v>56</v>
      </c>
      <c r="AN159" s="619" t="s">
        <v>2597</v>
      </c>
      <c r="AO159" s="619" t="s">
        <v>173</v>
      </c>
      <c r="AP159" s="629" t="s">
        <v>2526</v>
      </c>
      <c r="AQ159" s="629"/>
      <c r="AR159" s="629"/>
    </row>
    <row r="160" spans="1:44" ht="15" customHeight="1">
      <c r="A160" s="701" t="s">
        <v>2478</v>
      </c>
      <c r="B160" s="691" t="s">
        <v>2489</v>
      </c>
      <c r="C160" s="691" t="s">
        <v>2498</v>
      </c>
      <c r="D160" s="691" t="s">
        <v>2509</v>
      </c>
      <c r="E160" s="691" t="s">
        <v>2509</v>
      </c>
      <c r="F160" s="686" t="s">
        <v>10</v>
      </c>
      <c r="G160" s="686" t="s">
        <v>100</v>
      </c>
      <c r="H160" s="686" t="s">
        <v>54</v>
      </c>
      <c r="I160" s="686" t="s">
        <v>4</v>
      </c>
      <c r="J160" s="495">
        <v>2021</v>
      </c>
      <c r="K160" s="691" t="s">
        <v>2520</v>
      </c>
      <c r="L160" s="825">
        <v>44383.280261724503</v>
      </c>
      <c r="M160" s="714">
        <v>-6.4711869999999996</v>
      </c>
      <c r="N160" s="714">
        <v>106.79571900000001</v>
      </c>
      <c r="O160" s="246" t="s">
        <v>2579</v>
      </c>
      <c r="P160" s="722" t="s">
        <v>11</v>
      </c>
      <c r="Q160" s="691" t="s">
        <v>26</v>
      </c>
      <c r="R160" s="691" t="s">
        <v>13</v>
      </c>
      <c r="S160" s="691">
        <v>42</v>
      </c>
      <c r="T160" s="637" t="s">
        <v>223</v>
      </c>
      <c r="U160" s="636" t="s">
        <v>2908</v>
      </c>
      <c r="V160" s="637" t="s">
        <v>314</v>
      </c>
      <c r="W160" s="728">
        <v>-6.4704100000000002</v>
      </c>
      <c r="X160" s="728">
        <v>106.7963</v>
      </c>
      <c r="Y160" s="637"/>
      <c r="Z160" s="637"/>
      <c r="AA160" s="637"/>
      <c r="AB160" s="637"/>
      <c r="AC160" s="642"/>
      <c r="AD160" s="637"/>
      <c r="AE160" s="637"/>
      <c r="AF160" s="643">
        <v>44418</v>
      </c>
      <c r="AG160" s="668" t="s">
        <v>2589</v>
      </c>
      <c r="AH160" s="655">
        <v>44448</v>
      </c>
      <c r="AI160" s="643">
        <v>44432</v>
      </c>
      <c r="AJ160" s="545">
        <f>IF(Table13[[#This Row],[RFC Remark]]="DONE",Table13[[#This Row],[RFC Date]]-Table13[[#This Row],[STIP Date]],$AJ$2-Table13[[#This Row],[STIP Date]])</f>
        <v>48.719738275496638</v>
      </c>
      <c r="AK160" s="637" t="s">
        <v>2946</v>
      </c>
      <c r="AL160" s="5" t="str">
        <f>IF(Table13[[#This Row],[Aging RFC]]&lt;=85,"ONTIME","DELAY")</f>
        <v>ONTIME</v>
      </c>
      <c r="AM160" s="637">
        <f>_xlfn.DAYS(Table13[[#This Row],[RFC Projection]],Table13[[#This Row],[STIP Date]])</f>
        <v>35</v>
      </c>
      <c r="AN160" s="636" t="s">
        <v>311</v>
      </c>
      <c r="AO160" s="636" t="s">
        <v>173</v>
      </c>
      <c r="AP160" s="496" t="s">
        <v>2527</v>
      </c>
      <c r="AQ160" s="496"/>
      <c r="AR160" s="496"/>
    </row>
    <row r="161" spans="1:44" ht="15" customHeight="1">
      <c r="A161" s="5" t="s">
        <v>2559</v>
      </c>
      <c r="B161" s="2">
        <v>1272241023</v>
      </c>
      <c r="C161" s="2" t="s">
        <v>2560</v>
      </c>
      <c r="D161" s="400" t="s">
        <v>2561</v>
      </c>
      <c r="E161" s="2" t="s">
        <v>2561</v>
      </c>
      <c r="F161" s="2" t="s">
        <v>10</v>
      </c>
      <c r="G161" s="2" t="s">
        <v>100</v>
      </c>
      <c r="H161" s="2" t="s">
        <v>54</v>
      </c>
      <c r="I161" s="2" t="s">
        <v>4</v>
      </c>
      <c r="J161" s="745"/>
      <c r="K161" s="5" t="s">
        <v>2562</v>
      </c>
      <c r="L161" s="824">
        <v>44391.280277777776</v>
      </c>
      <c r="M161" s="7" t="s">
        <v>2563</v>
      </c>
      <c r="N161" s="7" t="s">
        <v>2564</v>
      </c>
      <c r="O161" s="5" t="s">
        <v>2546</v>
      </c>
      <c r="P161" s="7" t="s">
        <v>11</v>
      </c>
      <c r="Q161" s="7" t="s">
        <v>26</v>
      </c>
      <c r="R161" s="7" t="s">
        <v>13</v>
      </c>
      <c r="S161" s="2" t="s">
        <v>633</v>
      </c>
      <c r="T161" s="5"/>
      <c r="U161" s="4" t="s">
        <v>2908</v>
      </c>
      <c r="V161" s="5"/>
      <c r="W161" s="5"/>
      <c r="X161" s="5"/>
      <c r="Y161" s="5"/>
      <c r="Z161" s="5"/>
      <c r="AA161" s="5"/>
      <c r="AB161" s="5"/>
      <c r="AC161" s="40"/>
      <c r="AD161" s="5"/>
      <c r="AE161" s="5"/>
      <c r="AF161" s="30" t="e">
        <f>VLOOKUP(Table13[[#This Row],[SONum]],[2]Worksheet1!$B$1:$Z$59,23,0)</f>
        <v>#N/A</v>
      </c>
      <c r="AG161" s="30" t="e">
        <f>VLOOKUP(Table13[[#This Row],[SONum]],[2]Worksheet1!$B$1:$Z$59,24,0)</f>
        <v>#N/A</v>
      </c>
      <c r="AH161" s="30" t="e">
        <f>VLOOKUP(Table13[[#This Row],[SONum]],[2]Worksheet1!$B$1:$Z$59,25,0)</f>
        <v>#N/A</v>
      </c>
      <c r="AI161" s="31"/>
      <c r="AJ161" s="22">
        <f ca="1">IF(Table13[[#This Row],[RFC Remark]]="DONE",Table13[[#This Row],[RFC Date]]-Table13[[#This Row],[STIP Date]],$AJ$2-Table13[[#This Row],[STIP Date]])</f>
        <v>442.71972222222394</v>
      </c>
      <c r="AK161" s="5"/>
      <c r="AL161" s="5"/>
      <c r="AM161" s="745" t="e">
        <f>_xlfn.DAYS(Table13[[#This Row],[RFC Projection]],Table13[[#This Row],[STIP Date]])</f>
        <v>#N/A</v>
      </c>
      <c r="AN161" s="4" t="s">
        <v>312</v>
      </c>
      <c r="AO161" s="5" t="s">
        <v>2906</v>
      </c>
      <c r="AP161" s="43"/>
      <c r="AQ161" s="43"/>
      <c r="AR161" s="43"/>
    </row>
    <row r="162" spans="1:44" ht="15" customHeight="1">
      <c r="A162" s="621" t="s">
        <v>2552</v>
      </c>
      <c r="B162" s="141" t="s">
        <v>2553</v>
      </c>
      <c r="C162" s="141" t="s">
        <v>2554</v>
      </c>
      <c r="D162" s="141" t="s">
        <v>2555</v>
      </c>
      <c r="E162" s="141" t="s">
        <v>2555</v>
      </c>
      <c r="F162" s="141" t="s">
        <v>10</v>
      </c>
      <c r="G162" s="141" t="s">
        <v>100</v>
      </c>
      <c r="H162" s="141" t="s">
        <v>54</v>
      </c>
      <c r="I162" s="141" t="s">
        <v>4</v>
      </c>
      <c r="J162" s="47"/>
      <c r="K162" s="621" t="s">
        <v>2556</v>
      </c>
      <c r="L162" s="826">
        <v>44391.280277777776</v>
      </c>
      <c r="M162" s="622" t="s">
        <v>2557</v>
      </c>
      <c r="N162" s="622" t="s">
        <v>2558</v>
      </c>
      <c r="O162" s="621" t="s">
        <v>2596</v>
      </c>
      <c r="P162" s="622" t="s">
        <v>11</v>
      </c>
      <c r="Q162" s="622" t="s">
        <v>763</v>
      </c>
      <c r="R162" s="622" t="s">
        <v>13</v>
      </c>
      <c r="S162" s="141" t="s">
        <v>633</v>
      </c>
      <c r="T162" s="621" t="s">
        <v>221</v>
      </c>
      <c r="U162" s="621"/>
      <c r="V162" s="621" t="s">
        <v>316</v>
      </c>
      <c r="W162" s="621">
        <v>-6.3149600000000001</v>
      </c>
      <c r="X162" s="621">
        <v>107.35026000000001</v>
      </c>
      <c r="Y162" s="621">
        <v>42</v>
      </c>
      <c r="Z162" s="621"/>
      <c r="AA162" s="621"/>
      <c r="AB162" s="621"/>
      <c r="AC162" s="625"/>
      <c r="AD162" s="621"/>
      <c r="AE162" s="621"/>
      <c r="AF162" s="626">
        <v>44423</v>
      </c>
      <c r="AG162" s="652" t="s">
        <v>2589</v>
      </c>
      <c r="AH162" s="776">
        <v>44453</v>
      </c>
      <c r="AI162" s="626">
        <v>44440</v>
      </c>
      <c r="AJ162" s="698">
        <f>IF(Table13[[#This Row],[RFC Remark]]="DONE",Table13[[#This Row],[RFC Date]]-Table13[[#This Row],[STIP Date]],$AJ$2-Table13[[#This Row],[STIP Date]])</f>
        <v>48.719722222223936</v>
      </c>
      <c r="AK162" s="621" t="s">
        <v>167</v>
      </c>
      <c r="AL162" s="5" t="str">
        <f>IF(Table13[[#This Row],[Aging RFC]]&lt;=85,"ONTIME","DELAY")</f>
        <v>ONTIME</v>
      </c>
      <c r="AM162" s="621">
        <f>_xlfn.DAYS(Table13[[#This Row],[RFC Projection]],Table13[[#This Row],[STIP Date]])</f>
        <v>32</v>
      </c>
      <c r="AN162" s="619" t="s">
        <v>311</v>
      </c>
      <c r="AO162" s="621" t="s">
        <v>173</v>
      </c>
      <c r="AP162" s="629"/>
      <c r="AQ162" s="629"/>
      <c r="AR162" s="629"/>
    </row>
    <row r="163" spans="1:44" ht="15" customHeight="1">
      <c r="A163" s="49" t="s">
        <v>2541</v>
      </c>
      <c r="B163" s="488" t="s">
        <v>2542</v>
      </c>
      <c r="C163" s="488" t="s">
        <v>2433</v>
      </c>
      <c r="D163" s="488" t="s">
        <v>2434</v>
      </c>
      <c r="E163" s="488" t="s">
        <v>2434</v>
      </c>
      <c r="F163" s="488" t="s">
        <v>2</v>
      </c>
      <c r="G163" s="488" t="s">
        <v>100</v>
      </c>
      <c r="H163" s="488" t="s">
        <v>3</v>
      </c>
      <c r="I163" s="488" t="s">
        <v>4</v>
      </c>
      <c r="J163" s="47"/>
      <c r="K163" s="488" t="s">
        <v>2543</v>
      </c>
      <c r="L163" s="823">
        <v>44391.280277777776</v>
      </c>
      <c r="M163" s="488" t="s">
        <v>2544</v>
      </c>
      <c r="N163" s="488" t="s">
        <v>2545</v>
      </c>
      <c r="O163" s="488" t="s">
        <v>2575</v>
      </c>
      <c r="P163" s="488" t="s">
        <v>5</v>
      </c>
      <c r="Q163" s="488" t="s">
        <v>1079</v>
      </c>
      <c r="R163" s="488" t="s">
        <v>7</v>
      </c>
      <c r="S163" s="488" t="s">
        <v>524</v>
      </c>
      <c r="T163" s="49" t="s">
        <v>169</v>
      </c>
      <c r="U163" s="49"/>
      <c r="V163" s="49" t="s">
        <v>2462</v>
      </c>
      <c r="W163" s="49">
        <v>-6.2869299999999999</v>
      </c>
      <c r="X163" s="49">
        <v>106.80065999999999</v>
      </c>
      <c r="Y163" s="49">
        <v>25</v>
      </c>
      <c r="Z163" s="5"/>
      <c r="AA163" s="5"/>
      <c r="AB163" s="5"/>
      <c r="AC163" s="40"/>
      <c r="AD163" s="5"/>
      <c r="AE163" s="5"/>
      <c r="AF163" s="51"/>
      <c r="AG163" s="52"/>
      <c r="AH163" s="52">
        <v>30</v>
      </c>
      <c r="AI163" s="51">
        <v>44406</v>
      </c>
      <c r="AJ163" s="593">
        <f>IF(Table13[[#This Row],[RFC Remark]]="DONE",Table13[[#This Row],[RFC Date]]-Table13[[#This Row],[STIP Date]],$AJ$2-Table13[[#This Row],[STIP Date]])</f>
        <v>14.719722222223936</v>
      </c>
      <c r="AK163" s="49" t="s">
        <v>167</v>
      </c>
      <c r="AL163" s="5" t="str">
        <f>IF(Table13[[#This Row],[Aging RFC]]&lt;=85,"ONTIME","DELAY")</f>
        <v>ONTIME</v>
      </c>
      <c r="AM163" s="49"/>
      <c r="AN163" s="49" t="s">
        <v>311</v>
      </c>
      <c r="AO163" s="49" t="s">
        <v>173</v>
      </c>
      <c r="AP163" s="43"/>
      <c r="AQ163" s="53"/>
      <c r="AR163" s="53"/>
    </row>
    <row r="164" spans="1:44" ht="15" customHeight="1">
      <c r="A164" s="5" t="s">
        <v>2547</v>
      </c>
      <c r="B164" s="2" t="s">
        <v>2548</v>
      </c>
      <c r="C164" s="562" t="s">
        <v>2435</v>
      </c>
      <c r="D164" s="562" t="s">
        <v>2436</v>
      </c>
      <c r="E164" s="2" t="s">
        <v>2436</v>
      </c>
      <c r="F164" s="2" t="s">
        <v>2</v>
      </c>
      <c r="G164" s="2" t="s">
        <v>100</v>
      </c>
      <c r="H164" s="2" t="s">
        <v>3</v>
      </c>
      <c r="I164" s="2" t="s">
        <v>4</v>
      </c>
      <c r="J164" s="750"/>
      <c r="K164" s="5" t="s">
        <v>2549</v>
      </c>
      <c r="L164" s="824">
        <v>44391.280277777776</v>
      </c>
      <c r="M164" s="7" t="s">
        <v>2550</v>
      </c>
      <c r="N164" s="7" t="s">
        <v>2551</v>
      </c>
      <c r="O164" s="5" t="s">
        <v>2546</v>
      </c>
      <c r="P164" s="7" t="s">
        <v>5</v>
      </c>
      <c r="Q164" s="7" t="s">
        <v>6</v>
      </c>
      <c r="R164" s="7" t="s">
        <v>7</v>
      </c>
      <c r="S164" s="2" t="s">
        <v>524</v>
      </c>
      <c r="T164" s="5" t="s">
        <v>169</v>
      </c>
      <c r="U164" s="4" t="s">
        <v>2909</v>
      </c>
      <c r="V164" s="5"/>
      <c r="W164" s="5"/>
      <c r="X164" s="5"/>
      <c r="Y164" s="5"/>
      <c r="Z164" s="495"/>
      <c r="AA164" s="637"/>
      <c r="AB164" s="637"/>
      <c r="AC164" s="642"/>
      <c r="AD164" s="637"/>
      <c r="AE164" s="746"/>
      <c r="AF164" s="31">
        <v>44476</v>
      </c>
      <c r="AG164" s="34">
        <v>44476</v>
      </c>
      <c r="AH164" s="34">
        <v>44506</v>
      </c>
      <c r="AI164" s="31">
        <v>44488</v>
      </c>
      <c r="AJ164" s="22">
        <f>IF(Table13[[#This Row],[RFC Remark]]="DONE",Table13[[#This Row],[RFC Date]]-Table13[[#This Row],[STIP Date]],$AJ$2-Table13[[#This Row],[STIP Date]])</f>
        <v>96.719722222223936</v>
      </c>
      <c r="AK164" s="5" t="s">
        <v>167</v>
      </c>
      <c r="AL164" s="5" t="str">
        <f>IF(Table13[[#This Row],[Aging RFC]]&lt;=85,"ONTIME","DELAY")</f>
        <v>DELAY</v>
      </c>
      <c r="AM164" s="5">
        <f>_xlfn.DAYS(Table13[[#This Row],[RFC Projection]],Table13[[#This Row],[STIP Date]])</f>
        <v>85</v>
      </c>
      <c r="AN164" s="5" t="s">
        <v>311</v>
      </c>
      <c r="AO164" s="5" t="s">
        <v>173</v>
      </c>
      <c r="AP164" s="749"/>
      <c r="AQ164" s="43" t="s">
        <v>3182</v>
      </c>
      <c r="AR164" s="43"/>
    </row>
    <row r="165" spans="1:44" ht="15" customHeight="1">
      <c r="A165" s="637" t="s">
        <v>2600</v>
      </c>
      <c r="B165" s="482" t="s">
        <v>2604</v>
      </c>
      <c r="C165" s="482" t="s">
        <v>2571</v>
      </c>
      <c r="D165" s="482" t="s">
        <v>2572</v>
      </c>
      <c r="E165" s="482" t="s">
        <v>2572</v>
      </c>
      <c r="F165" s="482" t="s">
        <v>10</v>
      </c>
      <c r="G165" s="482" t="s">
        <v>100</v>
      </c>
      <c r="H165" s="637" t="s">
        <v>3</v>
      </c>
      <c r="I165" s="637" t="s">
        <v>216</v>
      </c>
      <c r="J165" s="47"/>
      <c r="K165" s="482" t="s">
        <v>2612</v>
      </c>
      <c r="L165" s="827">
        <v>44405</v>
      </c>
      <c r="M165" s="482" t="s">
        <v>2613</v>
      </c>
      <c r="N165" s="482" t="s">
        <v>2614</v>
      </c>
      <c r="O165" s="482" t="s">
        <v>2546</v>
      </c>
      <c r="P165" s="482" t="s">
        <v>5</v>
      </c>
      <c r="Q165" s="482" t="s">
        <v>505</v>
      </c>
      <c r="R165" s="482" t="s">
        <v>7</v>
      </c>
      <c r="S165" s="482" t="s">
        <v>498</v>
      </c>
      <c r="T165" s="637" t="s">
        <v>169</v>
      </c>
      <c r="U165" s="637"/>
      <c r="V165" s="637"/>
      <c r="W165" s="637"/>
      <c r="X165" s="637"/>
      <c r="Y165" s="637"/>
      <c r="Z165" s="5"/>
      <c r="AA165" s="5"/>
      <c r="AB165" s="5"/>
      <c r="AC165" s="40"/>
      <c r="AD165" s="5"/>
      <c r="AE165" s="5"/>
      <c r="AF165" s="643">
        <v>44425</v>
      </c>
      <c r="AG165" s="668" t="s">
        <v>2589</v>
      </c>
      <c r="AH165" s="655">
        <v>44445</v>
      </c>
      <c r="AI165" s="643">
        <v>44420</v>
      </c>
      <c r="AJ165" s="545">
        <f>IF(Table13[[#This Row],[RFC Remark]]="DONE",Table13[[#This Row],[RFC Date]]-Table13[[#This Row],[STIP Date]],$AJ$2-Table13[[#This Row],[STIP Date]])</f>
        <v>15</v>
      </c>
      <c r="AK165" s="637" t="s">
        <v>167</v>
      </c>
      <c r="AL165" s="637"/>
      <c r="AM165" s="637">
        <f>_xlfn.DAYS(Table13[[#This Row],[RFC Projection]],Table13[[#This Row],[STIP Date]])</f>
        <v>20</v>
      </c>
      <c r="AN165" s="637" t="s">
        <v>311</v>
      </c>
      <c r="AO165" s="637" t="s">
        <v>173</v>
      </c>
      <c r="AP165" s="43"/>
      <c r="AQ165" s="496"/>
      <c r="AR165" s="496"/>
    </row>
    <row r="166" spans="1:44" ht="15" customHeight="1">
      <c r="A166" s="5" t="s">
        <v>2601</v>
      </c>
      <c r="B166" s="2" t="s">
        <v>2605</v>
      </c>
      <c r="C166" s="562" t="s">
        <v>2573</v>
      </c>
      <c r="D166" s="562" t="s">
        <v>2574</v>
      </c>
      <c r="E166" s="2" t="s">
        <v>2574</v>
      </c>
      <c r="F166" s="2" t="s">
        <v>10</v>
      </c>
      <c r="G166" s="2" t="s">
        <v>100</v>
      </c>
      <c r="H166" s="5" t="s">
        <v>3</v>
      </c>
      <c r="I166" s="5" t="s">
        <v>216</v>
      </c>
      <c r="J166" s="745"/>
      <c r="K166" s="2" t="s">
        <v>2616</v>
      </c>
      <c r="L166" s="28">
        <v>44405</v>
      </c>
      <c r="M166" s="2" t="s">
        <v>2617</v>
      </c>
      <c r="N166" s="2" t="s">
        <v>2618</v>
      </c>
      <c r="O166" s="2" t="s">
        <v>2546</v>
      </c>
      <c r="P166" s="2" t="s">
        <v>5</v>
      </c>
      <c r="Q166" s="2" t="s">
        <v>35</v>
      </c>
      <c r="R166" s="2" t="s">
        <v>7</v>
      </c>
      <c r="S166" s="2" t="s">
        <v>498</v>
      </c>
      <c r="T166" s="5" t="s">
        <v>223</v>
      </c>
      <c r="U166" s="4" t="s">
        <v>2908</v>
      </c>
      <c r="V166" s="5"/>
      <c r="W166" s="5"/>
      <c r="X166" s="5"/>
      <c r="Y166" s="5"/>
      <c r="Z166" s="47"/>
      <c r="AA166" s="5"/>
      <c r="AB166" s="5"/>
      <c r="AC166" s="40"/>
      <c r="AD166" s="5"/>
      <c r="AE166" s="408"/>
      <c r="AF166" s="31">
        <v>44494</v>
      </c>
      <c r="AG166" s="34">
        <v>44494</v>
      </c>
      <c r="AH166" s="517">
        <v>44514</v>
      </c>
      <c r="AI166" s="31">
        <v>44480</v>
      </c>
      <c r="AJ166" s="22">
        <f>IF(Table13[[#This Row],[RFC Remark]]="DONE",Table13[[#This Row],[RFC Date]]-Table13[[#This Row],[STIP Date]],$AJ$2-Table13[[#This Row],[STIP Date]])</f>
        <v>75</v>
      </c>
      <c r="AK166" s="5" t="s">
        <v>167</v>
      </c>
      <c r="AL166" s="5"/>
      <c r="AM166" s="5">
        <f>_xlfn.DAYS(Table13[[#This Row],[RFC Projection]],Table13[[#This Row],[STIP Date]])</f>
        <v>89</v>
      </c>
      <c r="AN166" s="5" t="s">
        <v>2597</v>
      </c>
      <c r="AO166" s="5" t="s">
        <v>173</v>
      </c>
      <c r="AP166" s="748"/>
      <c r="AQ166" s="43"/>
      <c r="AR166" s="43"/>
    </row>
    <row r="167" spans="1:44" ht="15" customHeight="1">
      <c r="A167" s="5" t="s">
        <v>2602</v>
      </c>
      <c r="B167" s="2" t="s">
        <v>2606</v>
      </c>
      <c r="C167" s="562" t="s">
        <v>2569</v>
      </c>
      <c r="D167" s="562" t="s">
        <v>2570</v>
      </c>
      <c r="E167" s="2" t="s">
        <v>2570</v>
      </c>
      <c r="F167" s="2" t="s">
        <v>10</v>
      </c>
      <c r="G167" s="2" t="s">
        <v>100</v>
      </c>
      <c r="H167" s="5" t="s">
        <v>3</v>
      </c>
      <c r="I167" s="5" t="s">
        <v>216</v>
      </c>
      <c r="J167" s="745"/>
      <c r="K167" s="2" t="s">
        <v>2619</v>
      </c>
      <c r="L167" s="28">
        <v>44405</v>
      </c>
      <c r="M167" s="2" t="s">
        <v>2620</v>
      </c>
      <c r="N167" s="2" t="s">
        <v>2621</v>
      </c>
      <c r="O167" s="2" t="s">
        <v>2699</v>
      </c>
      <c r="P167" s="2" t="s">
        <v>5</v>
      </c>
      <c r="Q167" s="2" t="s">
        <v>6</v>
      </c>
      <c r="R167" s="2" t="s">
        <v>7</v>
      </c>
      <c r="S167" s="2" t="s">
        <v>498</v>
      </c>
      <c r="T167" s="5" t="s">
        <v>223</v>
      </c>
      <c r="U167" s="4" t="s">
        <v>2909</v>
      </c>
      <c r="V167" s="5" t="s">
        <v>316</v>
      </c>
      <c r="W167" s="5">
        <v>-6.1220699999999999</v>
      </c>
      <c r="X167" s="5">
        <v>106.88867999999999</v>
      </c>
      <c r="Y167" s="5">
        <v>25</v>
      </c>
      <c r="Z167" s="5"/>
      <c r="AA167" s="5"/>
      <c r="AB167" s="5"/>
      <c r="AC167" s="40"/>
      <c r="AD167" s="5"/>
      <c r="AE167" s="5"/>
      <c r="AF167" s="30" t="e">
        <f>VLOOKUP(Table13[[#This Row],[SONum]],[2]Worksheet1!$B$1:$Z$59,23,0)</f>
        <v>#N/A</v>
      </c>
      <c r="AG167" s="30" t="e">
        <f>VLOOKUP(Table13[[#This Row],[SONum]],[2]Worksheet1!$B$1:$Z$59,24,0)</f>
        <v>#N/A</v>
      </c>
      <c r="AH167" s="30" t="e">
        <f>VLOOKUP(Table13[[#This Row],[SONum]],[2]Worksheet1!$B$1:$Z$59,25,0)</f>
        <v>#N/A</v>
      </c>
      <c r="AI167" s="31"/>
      <c r="AJ167" s="22">
        <f ca="1">IF(Table13[[#This Row],[RFC Remark]]="DONE",Table13[[#This Row],[RFC Date]]-Table13[[#This Row],[STIP Date]],$AJ$2-Table13[[#This Row],[STIP Date]])</f>
        <v>429</v>
      </c>
      <c r="AK167" s="5"/>
      <c r="AL167" s="5"/>
      <c r="AM167" s="745" t="e">
        <f>_xlfn.DAYS(Table13[[#This Row],[RFC Projection]],Table13[[#This Row],[STIP Date]])</f>
        <v>#N/A</v>
      </c>
      <c r="AN167" s="5" t="s">
        <v>174</v>
      </c>
      <c r="AO167" s="5" t="s">
        <v>2169</v>
      </c>
      <c r="AP167" s="43"/>
      <c r="AQ167" s="43" t="s">
        <v>3057</v>
      </c>
      <c r="AR167" s="43"/>
    </row>
    <row r="168" spans="1:44" ht="15" hidden="1" customHeight="1">
      <c r="A168" s="621" t="s">
        <v>2635</v>
      </c>
      <c r="B168" s="141" t="s">
        <v>2636</v>
      </c>
      <c r="C168" s="141" t="s">
        <v>2637</v>
      </c>
      <c r="D168" s="141" t="s">
        <v>2638</v>
      </c>
      <c r="E168" s="141" t="s">
        <v>2638</v>
      </c>
      <c r="F168" s="141" t="s">
        <v>10</v>
      </c>
      <c r="G168" s="141" t="s">
        <v>100</v>
      </c>
      <c r="H168" s="141" t="s">
        <v>54</v>
      </c>
      <c r="I168" s="141" t="s">
        <v>4</v>
      </c>
      <c r="J168" s="745"/>
      <c r="K168" s="621" t="s">
        <v>2639</v>
      </c>
      <c r="L168" s="622">
        <v>44413</v>
      </c>
      <c r="M168" s="622" t="s">
        <v>2640</v>
      </c>
      <c r="N168" s="141" t="s">
        <v>2641</v>
      </c>
      <c r="O168" s="621"/>
      <c r="P168" s="141" t="s">
        <v>5</v>
      </c>
      <c r="Q168" s="141" t="s">
        <v>21</v>
      </c>
      <c r="R168" s="141" t="s">
        <v>20</v>
      </c>
      <c r="S168" s="141" t="s">
        <v>498</v>
      </c>
      <c r="T168" s="621" t="s">
        <v>2652</v>
      </c>
      <c r="U168" s="619" t="s">
        <v>2909</v>
      </c>
      <c r="V168" s="621"/>
      <c r="W168" s="621"/>
      <c r="X168" s="621"/>
      <c r="Y168" s="621"/>
      <c r="Z168" s="620"/>
      <c r="AA168" s="621"/>
      <c r="AB168" s="621"/>
      <c r="AC168" s="625"/>
      <c r="AD168" s="621"/>
      <c r="AE168" s="828"/>
      <c r="AF168" s="30" t="e">
        <f>VLOOKUP(Table13[[#This Row],[SONum]],[2]Worksheet1!$B$1:$Z$59,23,0)</f>
        <v>#N/A</v>
      </c>
      <c r="AG168" s="30" t="e">
        <f>VLOOKUP(Table13[[#This Row],[SONum]],[2]Worksheet1!$B$1:$Z$59,23,0)</f>
        <v>#N/A</v>
      </c>
      <c r="AH168" s="30" t="e">
        <f>VLOOKUP(Table13[[#This Row],[SONum]],[2]Worksheet1!$B$1:$Z$59,23,0)</f>
        <v>#N/A</v>
      </c>
      <c r="AI168" s="626"/>
      <c r="AJ168" s="698">
        <f ca="1">IF(Table13[[#This Row],[RFC Remark]]="DONE",Table13[[#This Row],[RFC Date]]-Table13[[#This Row],[STIP Date]],$AJ$2-Table13[[#This Row],[STIP Date]])</f>
        <v>421</v>
      </c>
      <c r="AK168" s="621"/>
      <c r="AL168" s="621"/>
      <c r="AM168" s="5"/>
      <c r="AN168" s="621" t="s">
        <v>2944</v>
      </c>
      <c r="AO168" s="621" t="s">
        <v>2944</v>
      </c>
      <c r="AP168" s="833"/>
      <c r="AQ168" s="629" t="s">
        <v>2947</v>
      </c>
      <c r="AR168" s="629"/>
    </row>
    <row r="169" spans="1:44" ht="15" customHeight="1">
      <c r="A169" s="5" t="s">
        <v>2653</v>
      </c>
      <c r="B169" s="5" t="s">
        <v>2654</v>
      </c>
      <c r="C169" s="19" t="s">
        <v>2655</v>
      </c>
      <c r="D169" s="5" t="s">
        <v>2656</v>
      </c>
      <c r="E169" s="5" t="s">
        <v>2656</v>
      </c>
      <c r="F169" s="5" t="s">
        <v>10</v>
      </c>
      <c r="G169" s="4" t="s">
        <v>100</v>
      </c>
      <c r="H169" s="4" t="s">
        <v>54</v>
      </c>
      <c r="I169" s="4" t="s">
        <v>216</v>
      </c>
      <c r="J169" s="745"/>
      <c r="K169" s="5" t="s">
        <v>2657</v>
      </c>
      <c r="L169" s="7">
        <v>44413</v>
      </c>
      <c r="M169" s="7" t="s">
        <v>2658</v>
      </c>
      <c r="N169" s="7" t="s">
        <v>2659</v>
      </c>
      <c r="O169" s="5" t="s">
        <v>3039</v>
      </c>
      <c r="P169" s="7" t="s">
        <v>11</v>
      </c>
      <c r="Q169" s="7" t="s">
        <v>26</v>
      </c>
      <c r="R169" s="7" t="s">
        <v>13</v>
      </c>
      <c r="S169" s="61" t="s">
        <v>2660</v>
      </c>
      <c r="T169" s="5" t="s">
        <v>221</v>
      </c>
      <c r="U169" s="4" t="s">
        <v>2908</v>
      </c>
      <c r="V169" s="5" t="s">
        <v>178</v>
      </c>
      <c r="W169" s="5">
        <v>-6.5633400000000002</v>
      </c>
      <c r="X169" s="5">
        <v>106.63327</v>
      </c>
      <c r="Y169" s="5">
        <v>62</v>
      </c>
      <c r="Z169" s="47"/>
      <c r="AA169" s="5"/>
      <c r="AB169" s="5"/>
      <c r="AC169" s="40"/>
      <c r="AD169" s="5"/>
      <c r="AE169" s="408"/>
      <c r="AF169" s="31">
        <v>44494</v>
      </c>
      <c r="AG169" s="34">
        <v>44494</v>
      </c>
      <c r="AH169" s="5"/>
      <c r="AI169" s="31">
        <v>44474</v>
      </c>
      <c r="AJ169" s="22">
        <f>IF(Table13[[#This Row],[RFC Remark]]="DONE",Table13[[#This Row],[RFC Date]]-Table13[[#This Row],[STIP Date]],$AJ$2-Table13[[#This Row],[STIP Date]])</f>
        <v>61</v>
      </c>
      <c r="AK169" s="5" t="s">
        <v>167</v>
      </c>
      <c r="AL169" s="5"/>
      <c r="AM169" s="5"/>
      <c r="AN169" s="5" t="s">
        <v>2597</v>
      </c>
      <c r="AO169" s="5" t="s">
        <v>173</v>
      </c>
      <c r="AP169" s="748"/>
      <c r="AQ169" s="43"/>
      <c r="AR169" s="43"/>
    </row>
    <row r="170" spans="1:44" ht="15" hidden="1" customHeight="1">
      <c r="A170" s="777" t="s">
        <v>2646</v>
      </c>
      <c r="B170" s="777" t="s">
        <v>2647</v>
      </c>
      <c r="C170" s="778" t="s">
        <v>2649</v>
      </c>
      <c r="D170" s="778" t="s">
        <v>2648</v>
      </c>
      <c r="E170" s="637" t="s">
        <v>2648</v>
      </c>
      <c r="F170" s="482" t="s">
        <v>10</v>
      </c>
      <c r="G170" s="482" t="s">
        <v>100</v>
      </c>
      <c r="H170" s="637" t="s">
        <v>16</v>
      </c>
      <c r="I170" s="637" t="s">
        <v>4</v>
      </c>
      <c r="J170" s="47"/>
      <c r="K170" s="637" t="s">
        <v>2650</v>
      </c>
      <c r="L170" s="638">
        <v>44426</v>
      </c>
      <c r="M170" s="779">
        <v>-6.0355879999999997</v>
      </c>
      <c r="N170" s="779">
        <v>106.74678</v>
      </c>
      <c r="O170" s="637"/>
      <c r="P170" s="638"/>
      <c r="Q170" s="638"/>
      <c r="R170" s="638"/>
      <c r="S170" s="751"/>
      <c r="T170" s="637" t="s">
        <v>169</v>
      </c>
      <c r="U170" s="636" t="str">
        <f>IF(Table13[[#This Row],[Regional]]="JABODETABEK (INNER)", "Rahadian","Rinaldi")</f>
        <v>Rinaldi</v>
      </c>
      <c r="V170" s="637"/>
      <c r="W170" s="637"/>
      <c r="X170" s="637"/>
      <c r="Y170" s="637"/>
      <c r="Z170" s="5"/>
      <c r="AA170" s="5"/>
      <c r="AB170" s="5"/>
      <c r="AC170" s="40"/>
      <c r="AD170" s="5"/>
      <c r="AE170" s="5"/>
      <c r="AF170" s="30" t="e">
        <f>VLOOKUP(Table13[[#This Row],[SONum]],[2]Worksheet1!$B$1:$Z$59,23,0)</f>
        <v>#N/A</v>
      </c>
      <c r="AG170" s="30" t="e">
        <f>VLOOKUP(Table13[[#This Row],[SONum]],[2]Worksheet1!$B$1:$Z$59,23,0)</f>
        <v>#N/A</v>
      </c>
      <c r="AH170" s="30" t="e">
        <f>VLOOKUP(Table13[[#This Row],[SONum]],[2]Worksheet1!$B$1:$Z$59,23,0)</f>
        <v>#N/A</v>
      </c>
      <c r="AI170" s="643"/>
      <c r="AJ170" s="545">
        <f ca="1">IF(Table13[[#This Row],[RFC Remark]]="DONE",Table13[[#This Row],[RFC Date]]-Table13[[#This Row],[STIP Date]],$AJ$2-Table13[[#This Row],[STIP Date]])</f>
        <v>408</v>
      </c>
      <c r="AK170" s="637"/>
      <c r="AL170" s="637"/>
      <c r="AM170" s="637"/>
      <c r="AN170" s="637" t="s">
        <v>2944</v>
      </c>
      <c r="AO170" s="637" t="s">
        <v>2944</v>
      </c>
      <c r="AP170" s="43"/>
      <c r="AQ170" s="496" t="s">
        <v>2948</v>
      </c>
      <c r="AR170" s="496"/>
    </row>
    <row r="171" spans="1:44" ht="15" customHeight="1">
      <c r="A171" s="5" t="s">
        <v>2842</v>
      </c>
      <c r="B171" s="2" t="s">
        <v>2846</v>
      </c>
      <c r="C171" s="2" t="s">
        <v>2847</v>
      </c>
      <c r="D171" s="2" t="s">
        <v>2848</v>
      </c>
      <c r="E171" s="2" t="s">
        <v>2848</v>
      </c>
      <c r="F171" s="2" t="s">
        <v>10</v>
      </c>
      <c r="G171" s="2" t="s">
        <v>100</v>
      </c>
      <c r="H171" s="2" t="s">
        <v>54</v>
      </c>
      <c r="I171" s="2" t="s">
        <v>4</v>
      </c>
      <c r="J171" s="745"/>
      <c r="K171" s="2" t="s">
        <v>2852</v>
      </c>
      <c r="L171" s="28">
        <v>44434</v>
      </c>
      <c r="M171" s="2" t="s">
        <v>2853</v>
      </c>
      <c r="N171" s="2" t="s">
        <v>2854</v>
      </c>
      <c r="O171" s="2" t="s">
        <v>2546</v>
      </c>
      <c r="P171" s="2" t="s">
        <v>11</v>
      </c>
      <c r="Q171" s="2" t="s">
        <v>26</v>
      </c>
      <c r="R171" s="2" t="s">
        <v>13</v>
      </c>
      <c r="S171" s="2" t="s">
        <v>633</v>
      </c>
      <c r="T171" s="5" t="s">
        <v>2856</v>
      </c>
      <c r="U171" s="4" t="s">
        <v>2908</v>
      </c>
      <c r="V171" s="5"/>
      <c r="W171" s="5"/>
      <c r="X171" s="5"/>
      <c r="Y171" s="5"/>
      <c r="Z171" s="5"/>
      <c r="AA171" s="5"/>
      <c r="AB171" s="5"/>
      <c r="AC171" s="40"/>
      <c r="AD171" s="5"/>
      <c r="AE171" s="5"/>
      <c r="AF171" s="30" t="e">
        <f>VLOOKUP(Table13[[#This Row],[SONum]],[2]Worksheet1!$B$1:$Z$59,23,0)</f>
        <v>#N/A</v>
      </c>
      <c r="AG171" s="30" t="e">
        <f>VLOOKUP(Table13[[#This Row],[SONum]],[2]Worksheet1!$B$1:$Z$59,24,0)</f>
        <v>#N/A</v>
      </c>
      <c r="AH171" s="30" t="e">
        <f>VLOOKUP(Table13[[#This Row],[SONum]],[2]Worksheet1!$B$1:$Z$59,25,0)</f>
        <v>#N/A</v>
      </c>
      <c r="AI171" s="31"/>
      <c r="AJ171" s="22">
        <f ca="1">IF(Table13[[#This Row],[RFC Remark]]="DONE",Table13[[#This Row],[RFC Date]]-Table13[[#This Row],[STIP Date]],$AJ$2-Table13[[#This Row],[STIP Date]])</f>
        <v>400</v>
      </c>
      <c r="AK171" s="5"/>
      <c r="AL171" s="5"/>
      <c r="AM171" s="745"/>
      <c r="AN171" s="5" t="s">
        <v>174</v>
      </c>
      <c r="AO171" s="5" t="s">
        <v>2076</v>
      </c>
      <c r="AP171" s="43"/>
      <c r="AQ171" s="43"/>
      <c r="AR171" s="43" t="s">
        <v>3442</v>
      </c>
    </row>
    <row r="172" spans="1:44" ht="15" customHeight="1">
      <c r="A172" s="5" t="s">
        <v>2841</v>
      </c>
      <c r="B172" s="2" t="s">
        <v>2843</v>
      </c>
      <c r="C172" s="2" t="s">
        <v>2844</v>
      </c>
      <c r="D172" s="2" t="s">
        <v>2845</v>
      </c>
      <c r="E172" s="2" t="s">
        <v>2845</v>
      </c>
      <c r="F172" s="2" t="s">
        <v>10</v>
      </c>
      <c r="G172" s="2" t="s">
        <v>100</v>
      </c>
      <c r="H172" s="2" t="s">
        <v>54</v>
      </c>
      <c r="I172" s="2" t="s">
        <v>4</v>
      </c>
      <c r="J172" s="745"/>
      <c r="K172" s="2" t="s">
        <v>2849</v>
      </c>
      <c r="L172" s="28">
        <v>44434</v>
      </c>
      <c r="M172" s="2" t="s">
        <v>2850</v>
      </c>
      <c r="N172" s="2" t="s">
        <v>2851</v>
      </c>
      <c r="O172" s="2" t="s">
        <v>2546</v>
      </c>
      <c r="P172" s="2" t="s">
        <v>11</v>
      </c>
      <c r="Q172" s="2" t="s">
        <v>19</v>
      </c>
      <c r="R172" s="2" t="s">
        <v>20</v>
      </c>
      <c r="S172" s="2" t="s">
        <v>633</v>
      </c>
      <c r="T172" s="5" t="s">
        <v>2857</v>
      </c>
      <c r="U172" s="4" t="s">
        <v>2909</v>
      </c>
      <c r="V172" s="5" t="s">
        <v>178</v>
      </c>
      <c r="W172" s="5">
        <v>-6.2167899999999996</v>
      </c>
      <c r="X172" s="5">
        <v>106.41227000000001</v>
      </c>
      <c r="Y172" s="5">
        <v>42</v>
      </c>
      <c r="Z172" s="5"/>
      <c r="AA172" s="5"/>
      <c r="AB172" s="5"/>
      <c r="AC172" s="40"/>
      <c r="AD172" s="5"/>
      <c r="AE172" s="5"/>
      <c r="AF172" s="30" t="e">
        <f>VLOOKUP(Table13[[#This Row],[SONum]],[2]Worksheet1!$B$1:$Z$59,23,0)</f>
        <v>#N/A</v>
      </c>
      <c r="AG172" s="30" t="e">
        <f>VLOOKUP(Table13[[#This Row],[SONum]],[2]Worksheet1!$B$1:$Z$59,24,0)</f>
        <v>#N/A</v>
      </c>
      <c r="AH172" s="30" t="e">
        <f>VLOOKUP(Table13[[#This Row],[SONum]],[2]Worksheet1!$B$1:$Z$59,25,0)</f>
        <v>#N/A</v>
      </c>
      <c r="AI172" s="31">
        <v>44559</v>
      </c>
      <c r="AJ172" s="22">
        <f>IF(Table13[[#This Row],[RFC Remark]]="DONE",Table13[[#This Row],[RFC Date]]-Table13[[#This Row],[STIP Date]],$AJ$2-Table13[[#This Row],[STIP Date]])</f>
        <v>125</v>
      </c>
      <c r="AK172" s="5" t="s">
        <v>167</v>
      </c>
      <c r="AL172" s="5"/>
      <c r="AM172" s="745"/>
      <c r="AN172" s="637" t="s">
        <v>311</v>
      </c>
      <c r="AO172" s="637" t="s">
        <v>173</v>
      </c>
      <c r="AP172" s="43"/>
      <c r="AQ172" s="43"/>
      <c r="AR172" s="43"/>
    </row>
    <row r="173" spans="1:44" ht="15" customHeight="1">
      <c r="A173" s="5" t="s">
        <v>2834</v>
      </c>
      <c r="B173" s="2" t="s">
        <v>2835</v>
      </c>
      <c r="C173" s="2" t="s">
        <v>2836</v>
      </c>
      <c r="D173" s="2" t="s">
        <v>2837</v>
      </c>
      <c r="E173" s="2" t="s">
        <v>2837</v>
      </c>
      <c r="F173" s="2" t="s">
        <v>10</v>
      </c>
      <c r="G173" s="2" t="s">
        <v>100</v>
      </c>
      <c r="H173" s="2" t="s">
        <v>54</v>
      </c>
      <c r="I173" s="2" t="s">
        <v>4</v>
      </c>
      <c r="J173" s="745"/>
      <c r="K173" s="2" t="s">
        <v>2838</v>
      </c>
      <c r="L173" s="28">
        <v>44434</v>
      </c>
      <c r="M173" s="2" t="s">
        <v>2839</v>
      </c>
      <c r="N173" s="2" t="s">
        <v>2840</v>
      </c>
      <c r="O173" s="2" t="s">
        <v>3348</v>
      </c>
      <c r="P173" s="2" t="s">
        <v>11</v>
      </c>
      <c r="Q173" s="2" t="s">
        <v>19</v>
      </c>
      <c r="R173" s="2" t="s">
        <v>20</v>
      </c>
      <c r="S173" s="2" t="s">
        <v>2771</v>
      </c>
      <c r="T173" s="5" t="s">
        <v>2857</v>
      </c>
      <c r="U173" s="4" t="s">
        <v>2909</v>
      </c>
      <c r="V173" s="5" t="s">
        <v>179</v>
      </c>
      <c r="W173" s="5">
        <v>-6.0672199999999998</v>
      </c>
      <c r="X173" s="5">
        <v>106.64364999999999</v>
      </c>
      <c r="Y173" s="5">
        <v>52</v>
      </c>
      <c r="Z173" s="5"/>
      <c r="AA173" s="5"/>
      <c r="AB173" s="5"/>
      <c r="AC173" s="40"/>
      <c r="AD173" s="5"/>
      <c r="AE173" s="5"/>
      <c r="AF173" s="30" t="e">
        <f>VLOOKUP(Table13[[#This Row],[SONum]],[2]Worksheet1!$B$1:$Z$59,23,0)</f>
        <v>#N/A</v>
      </c>
      <c r="AG173" s="30" t="e">
        <f>VLOOKUP(Table13[[#This Row],[SONum]],[2]Worksheet1!$B$1:$Z$59,24,0)</f>
        <v>#N/A</v>
      </c>
      <c r="AH173" s="30" t="e">
        <f>VLOOKUP(Table13[[#This Row],[SONum]],[2]Worksheet1!$B$1:$Z$59,25,0)</f>
        <v>#N/A</v>
      </c>
      <c r="AI173" s="31">
        <v>44553</v>
      </c>
      <c r="AJ173" s="22">
        <f>IF(Table13[[#This Row],[RFC Remark]]="DONE",Table13[[#This Row],[RFC Date]]-Table13[[#This Row],[STIP Date]],$AJ$2-Table13[[#This Row],[STIP Date]])</f>
        <v>119</v>
      </c>
      <c r="AK173" s="5" t="s">
        <v>167</v>
      </c>
      <c r="AL173" s="5"/>
      <c r="AM173" s="745"/>
      <c r="AN173" s="637" t="s">
        <v>311</v>
      </c>
      <c r="AO173" s="637" t="s">
        <v>173</v>
      </c>
      <c r="AP173" s="43"/>
      <c r="AQ173" s="43" t="s">
        <v>3058</v>
      </c>
      <c r="AR173" s="43"/>
    </row>
    <row r="174" spans="1:44" ht="15" customHeight="1">
      <c r="A174" s="621" t="s">
        <v>2724</v>
      </c>
      <c r="B174" s="141" t="s">
        <v>2745</v>
      </c>
      <c r="C174" s="141" t="s">
        <v>2763</v>
      </c>
      <c r="D174" s="141" t="s">
        <v>2764</v>
      </c>
      <c r="E174" s="141" t="s">
        <v>2764</v>
      </c>
      <c r="F174" s="141" t="s">
        <v>10</v>
      </c>
      <c r="G174" s="141" t="s">
        <v>100</v>
      </c>
      <c r="H174" s="141" t="s">
        <v>2767</v>
      </c>
      <c r="I174" s="141" t="s">
        <v>4</v>
      </c>
      <c r="J174" s="745"/>
      <c r="K174" s="141" t="s">
        <v>2778</v>
      </c>
      <c r="L174" s="762">
        <v>44441</v>
      </c>
      <c r="M174" s="141" t="s">
        <v>2779</v>
      </c>
      <c r="N174" s="141" t="s">
        <v>2780</v>
      </c>
      <c r="O174" s="141" t="s">
        <v>2546</v>
      </c>
      <c r="P174" s="141" t="s">
        <v>5</v>
      </c>
      <c r="Q174" s="141" t="s">
        <v>505</v>
      </c>
      <c r="R174" s="141" t="s">
        <v>7</v>
      </c>
      <c r="S174" s="141" t="s">
        <v>2781</v>
      </c>
      <c r="T174" s="621" t="s">
        <v>169</v>
      </c>
      <c r="U174" s="619" t="s">
        <v>2909</v>
      </c>
      <c r="V174" s="621"/>
      <c r="W174" s="621"/>
      <c r="X174" s="621"/>
      <c r="Y174" s="621"/>
      <c r="Z174" s="620"/>
      <c r="AA174" s="621"/>
      <c r="AB174" s="621"/>
      <c r="AC174" s="625"/>
      <c r="AD174" s="621"/>
      <c r="AE174" s="828"/>
      <c r="AF174" s="626" t="e">
        <v>#N/A</v>
      </c>
      <c r="AG174" s="626" t="e">
        <v>#N/A</v>
      </c>
      <c r="AH174" s="627" t="e">
        <v>#N/A</v>
      </c>
      <c r="AI174" s="626">
        <v>44469</v>
      </c>
      <c r="AJ174" s="698">
        <f>IF(Table13[[#This Row],[RFC Remark]]="DONE",Table13[[#This Row],[RFC Date]]-Table13[[#This Row],[STIP Date]],$AJ$2-Table13[[#This Row],[STIP Date]])</f>
        <v>28</v>
      </c>
      <c r="AK174" s="621" t="s">
        <v>167</v>
      </c>
      <c r="AL174" s="5" t="str">
        <f>IF(Table13[[#This Row],[Aging RFC]]&lt;=85,"ONTIME","DELAY")</f>
        <v>ONTIME</v>
      </c>
      <c r="AM174" s="5"/>
      <c r="AN174" s="621" t="s">
        <v>311</v>
      </c>
      <c r="AO174" s="621" t="s">
        <v>173</v>
      </c>
      <c r="AP174" s="833"/>
      <c r="AQ174" s="629"/>
      <c r="AR174" s="629"/>
    </row>
    <row r="175" spans="1:44" ht="15" customHeight="1">
      <c r="A175" s="5" t="s">
        <v>2722</v>
      </c>
      <c r="B175" s="2" t="s">
        <v>2743</v>
      </c>
      <c r="C175" s="562" t="s">
        <v>2682</v>
      </c>
      <c r="D175" s="562" t="s">
        <v>2683</v>
      </c>
      <c r="E175" s="2" t="s">
        <v>2683</v>
      </c>
      <c r="F175" s="2" t="s">
        <v>10</v>
      </c>
      <c r="G175" s="2" t="s">
        <v>100</v>
      </c>
      <c r="H175" s="2" t="s">
        <v>3</v>
      </c>
      <c r="I175" s="2" t="s">
        <v>4</v>
      </c>
      <c r="J175" s="745"/>
      <c r="K175" s="2" t="s">
        <v>2772</v>
      </c>
      <c r="L175" s="28">
        <v>44442</v>
      </c>
      <c r="M175" s="2" t="s">
        <v>2773</v>
      </c>
      <c r="N175" s="2" t="s">
        <v>2774</v>
      </c>
      <c r="O175" s="2" t="s">
        <v>3300</v>
      </c>
      <c r="P175" s="2" t="s">
        <v>11</v>
      </c>
      <c r="Q175" s="2" t="s">
        <v>2702</v>
      </c>
      <c r="R175" s="2" t="s">
        <v>20</v>
      </c>
      <c r="S175" s="2" t="s">
        <v>633</v>
      </c>
      <c r="T175" s="5" t="s">
        <v>2855</v>
      </c>
      <c r="U175" s="4" t="s">
        <v>2909</v>
      </c>
      <c r="V175" s="5" t="s">
        <v>2295</v>
      </c>
      <c r="W175" s="5">
        <v>-6.0365000000000002</v>
      </c>
      <c r="X175" s="5">
        <v>106.05128000000001</v>
      </c>
      <c r="Y175" s="5">
        <v>42</v>
      </c>
      <c r="Z175" s="5"/>
      <c r="AA175" s="5"/>
      <c r="AB175" s="5"/>
      <c r="AC175" s="40"/>
      <c r="AD175" s="5"/>
      <c r="AE175" s="5"/>
      <c r="AF175" s="30" t="e">
        <f>VLOOKUP(Table13[[#This Row],[SONum]],[2]Worksheet1!$B$1:$Z$59,23,0)</f>
        <v>#N/A</v>
      </c>
      <c r="AG175" s="30" t="e">
        <f>VLOOKUP(Table13[[#This Row],[SONum]],[2]Worksheet1!$B$1:$Z$59,24,0)</f>
        <v>#N/A</v>
      </c>
      <c r="AH175" s="30" t="e">
        <f>VLOOKUP(Table13[[#This Row],[SONum]],[2]Worksheet1!$B$1:$Z$59,25,0)</f>
        <v>#N/A</v>
      </c>
      <c r="AI175" s="31">
        <v>44531</v>
      </c>
      <c r="AJ175" s="22">
        <f>IF(Table13[[#This Row],[RFC Remark]]="DONE",Table13[[#This Row],[RFC Date]]-Table13[[#This Row],[STIP Date]],$AJ$2-Table13[[#This Row],[STIP Date]])</f>
        <v>89</v>
      </c>
      <c r="AK175" s="5" t="s">
        <v>167</v>
      </c>
      <c r="AL175" s="5" t="str">
        <f>IF(Table13[[#This Row],[Aging RFC]]&lt;=85,"ONTIME","DELAY")</f>
        <v>DELAY</v>
      </c>
      <c r="AM175" s="745"/>
      <c r="AN175" s="5" t="s">
        <v>311</v>
      </c>
      <c r="AO175" s="5" t="s">
        <v>2907</v>
      </c>
      <c r="AP175" s="43"/>
      <c r="AQ175" s="43"/>
      <c r="AR175" s="43"/>
    </row>
    <row r="176" spans="1:44" ht="15" hidden="1" customHeight="1">
      <c r="A176" s="621" t="s">
        <v>2730</v>
      </c>
      <c r="B176" s="141" t="s">
        <v>2751</v>
      </c>
      <c r="C176" s="685" t="s">
        <v>2714</v>
      </c>
      <c r="D176" s="685" t="s">
        <v>2715</v>
      </c>
      <c r="E176" s="141" t="s">
        <v>2715</v>
      </c>
      <c r="F176" s="141" t="s">
        <v>10</v>
      </c>
      <c r="G176" s="141" t="s">
        <v>100</v>
      </c>
      <c r="H176" s="141" t="s">
        <v>3</v>
      </c>
      <c r="I176" s="141" t="s">
        <v>4</v>
      </c>
      <c r="J176" s="745"/>
      <c r="K176" s="141" t="s">
        <v>2797</v>
      </c>
      <c r="L176" s="762">
        <v>44442</v>
      </c>
      <c r="M176" s="141" t="s">
        <v>2798</v>
      </c>
      <c r="N176" s="141" t="s">
        <v>2799</v>
      </c>
      <c r="O176" s="141" t="s">
        <v>2546</v>
      </c>
      <c r="P176" s="141" t="s">
        <v>11</v>
      </c>
      <c r="Q176" s="141" t="s">
        <v>26</v>
      </c>
      <c r="R176" s="141" t="s">
        <v>13</v>
      </c>
      <c r="S176" s="141" t="s">
        <v>2771</v>
      </c>
      <c r="T176" s="621" t="s">
        <v>168</v>
      </c>
      <c r="U176" s="619" t="s">
        <v>2908</v>
      </c>
      <c r="V176" s="621"/>
      <c r="W176" s="621"/>
      <c r="X176" s="621"/>
      <c r="Y176" s="621"/>
      <c r="Z176" s="620"/>
      <c r="AA176" s="621"/>
      <c r="AB176" s="621"/>
      <c r="AC176" s="625"/>
      <c r="AD176" s="621"/>
      <c r="AE176" s="828"/>
      <c r="AF176" s="30" t="e">
        <f>VLOOKUP(Table13[[#This Row],[SONum]],[2]Worksheet1!$B$1:$Z$59,23,0)</f>
        <v>#N/A</v>
      </c>
      <c r="AG176" s="30" t="e">
        <f>VLOOKUP(Table13[[#This Row],[SONum]],[2]Worksheet1!$B$1:$Z$59,23,0)</f>
        <v>#N/A</v>
      </c>
      <c r="AH176" s="30" t="e">
        <f>VLOOKUP(Table13[[#This Row],[SONum]],[2]Worksheet1!$B$1:$Z$59,23,0)</f>
        <v>#N/A</v>
      </c>
      <c r="AI176" s="626"/>
      <c r="AJ176" s="698">
        <f ca="1">IF(Table13[[#This Row],[RFC Remark]]="DONE",Table13[[#This Row],[RFC Date]]-Table13[[#This Row],[STIP Date]],$AJ$2-Table13[[#This Row],[STIP Date]])</f>
        <v>392</v>
      </c>
      <c r="AK176" s="621"/>
      <c r="AL176" s="621"/>
      <c r="AM176" s="5"/>
      <c r="AN176" s="621" t="s">
        <v>2944</v>
      </c>
      <c r="AO176" s="621" t="s">
        <v>2944</v>
      </c>
      <c r="AP176" s="833"/>
      <c r="AQ176" s="629" t="s">
        <v>3059</v>
      </c>
      <c r="AR176" s="629"/>
    </row>
    <row r="177" spans="1:44" ht="15" customHeight="1">
      <c r="A177" s="5" t="s">
        <v>2727</v>
      </c>
      <c r="B177" s="2" t="s">
        <v>2748</v>
      </c>
      <c r="C177" s="562" t="s">
        <v>2689</v>
      </c>
      <c r="D177" s="562" t="s">
        <v>2765</v>
      </c>
      <c r="E177" s="2" t="s">
        <v>2690</v>
      </c>
      <c r="F177" s="2" t="s">
        <v>10</v>
      </c>
      <c r="G177" s="2" t="s">
        <v>100</v>
      </c>
      <c r="H177" s="2" t="s">
        <v>3</v>
      </c>
      <c r="I177" s="2" t="s">
        <v>4</v>
      </c>
      <c r="J177" s="745"/>
      <c r="K177" s="2" t="s">
        <v>2788</v>
      </c>
      <c r="L177" s="28">
        <v>44442</v>
      </c>
      <c r="M177" s="2" t="s">
        <v>2789</v>
      </c>
      <c r="N177" s="2" t="s">
        <v>2790</v>
      </c>
      <c r="O177" s="2" t="s">
        <v>2961</v>
      </c>
      <c r="P177" s="2" t="s">
        <v>11</v>
      </c>
      <c r="Q177" s="2" t="s">
        <v>763</v>
      </c>
      <c r="R177" s="2" t="s">
        <v>13</v>
      </c>
      <c r="S177" s="2" t="s">
        <v>2771</v>
      </c>
      <c r="T177" s="5" t="s">
        <v>221</v>
      </c>
      <c r="U177" s="4" t="s">
        <v>2908</v>
      </c>
      <c r="V177" s="5" t="s">
        <v>1978</v>
      </c>
      <c r="W177" s="238">
        <v>-6.2700899999999997</v>
      </c>
      <c r="X177" s="238">
        <v>107.54675</v>
      </c>
      <c r="Y177" s="5">
        <v>52</v>
      </c>
      <c r="Z177" s="47"/>
      <c r="AA177" s="5"/>
      <c r="AB177" s="5"/>
      <c r="AC177" s="40"/>
      <c r="AD177" s="5"/>
      <c r="AE177" s="408"/>
      <c r="AF177" s="31">
        <v>44487</v>
      </c>
      <c r="AG177" s="34">
        <v>44487</v>
      </c>
      <c r="AH177" s="34">
        <v>44517</v>
      </c>
      <c r="AI177" s="31">
        <v>44483</v>
      </c>
      <c r="AJ177" s="22">
        <f>IF(Table13[[#This Row],[RFC Remark]]="DONE",Table13[[#This Row],[RFC Date]]-Table13[[#This Row],[STIP Date]],$AJ$2-Table13[[#This Row],[STIP Date]])</f>
        <v>41</v>
      </c>
      <c r="AK177" s="5" t="s">
        <v>167</v>
      </c>
      <c r="AL177" s="5" t="str">
        <f>IF(Table13[[#This Row],[Aging RFC]]&lt;=85,"ONTIME","DELAY")</f>
        <v>ONTIME</v>
      </c>
      <c r="AM177" s="5"/>
      <c r="AN177" s="5" t="s">
        <v>311</v>
      </c>
      <c r="AO177" s="5" t="s">
        <v>173</v>
      </c>
      <c r="AP177" s="748"/>
      <c r="AQ177" s="43" t="s">
        <v>3182</v>
      </c>
      <c r="AR177" s="43"/>
    </row>
    <row r="178" spans="1:44" ht="15" customHeight="1">
      <c r="A178" s="5" t="s">
        <v>2723</v>
      </c>
      <c r="B178" s="2" t="s">
        <v>2744</v>
      </c>
      <c r="C178" s="562" t="s">
        <v>2687</v>
      </c>
      <c r="D178" s="562" t="s">
        <v>2688</v>
      </c>
      <c r="E178" s="2" t="s">
        <v>2688</v>
      </c>
      <c r="F178" s="2" t="s">
        <v>10</v>
      </c>
      <c r="G178" s="2" t="s">
        <v>100</v>
      </c>
      <c r="H178" s="2" t="s">
        <v>3</v>
      </c>
      <c r="I178" s="2" t="s">
        <v>4</v>
      </c>
      <c r="J178" s="745"/>
      <c r="K178" s="2" t="s">
        <v>2775</v>
      </c>
      <c r="L178" s="28">
        <v>44442</v>
      </c>
      <c r="M178" s="2" t="s">
        <v>2776</v>
      </c>
      <c r="N178" s="2" t="s">
        <v>2777</v>
      </c>
      <c r="O178" s="2" t="s">
        <v>2546</v>
      </c>
      <c r="P178" s="2" t="s">
        <v>11</v>
      </c>
      <c r="Q178" s="2" t="s">
        <v>763</v>
      </c>
      <c r="R178" s="2" t="s">
        <v>13</v>
      </c>
      <c r="S178" s="2" t="s">
        <v>2771</v>
      </c>
      <c r="T178" s="5" t="s">
        <v>221</v>
      </c>
      <c r="U178" s="4" t="s">
        <v>2908</v>
      </c>
      <c r="V178" s="5" t="s">
        <v>1978</v>
      </c>
      <c r="W178" s="5">
        <v>-6.1927700000000003</v>
      </c>
      <c r="X178" s="5">
        <v>107.52561</v>
      </c>
      <c r="Y178" s="5">
        <v>52</v>
      </c>
      <c r="Z178" s="47"/>
      <c r="AA178" s="5"/>
      <c r="AB178" s="5"/>
      <c r="AC178" s="40"/>
      <c r="AD178" s="5"/>
      <c r="AE178" s="408"/>
      <c r="AF178" s="31" t="e">
        <v>#N/A</v>
      </c>
      <c r="AG178" s="31" t="e">
        <v>#N/A</v>
      </c>
      <c r="AH178" s="34" t="e">
        <v>#N/A</v>
      </c>
      <c r="AI178" s="31">
        <v>44469</v>
      </c>
      <c r="AJ178" s="22">
        <f>IF(Table13[[#This Row],[RFC Remark]]="DONE",Table13[[#This Row],[RFC Date]]-Table13[[#This Row],[STIP Date]],$AJ$2-Table13[[#This Row],[STIP Date]])</f>
        <v>27</v>
      </c>
      <c r="AK178" s="5" t="s">
        <v>167</v>
      </c>
      <c r="AL178" s="5" t="str">
        <f>IF(Table13[[#This Row],[Aging RFC]]&lt;=85,"ONTIME","DELAY")</f>
        <v>ONTIME</v>
      </c>
      <c r="AM178" s="5"/>
      <c r="AN178" s="5" t="s">
        <v>311</v>
      </c>
      <c r="AO178" s="5" t="s">
        <v>173</v>
      </c>
      <c r="AP178" s="748"/>
      <c r="AQ178" s="43"/>
      <c r="AR178" s="43"/>
    </row>
    <row r="179" spans="1:44" ht="15" customHeight="1">
      <c r="A179" s="621" t="s">
        <v>2736</v>
      </c>
      <c r="B179" s="141" t="s">
        <v>2757</v>
      </c>
      <c r="C179" s="685" t="s">
        <v>2673</v>
      </c>
      <c r="D179" s="685" t="s">
        <v>2674</v>
      </c>
      <c r="E179" s="141" t="s">
        <v>2674</v>
      </c>
      <c r="F179" s="141" t="s">
        <v>10</v>
      </c>
      <c r="G179" s="141" t="s">
        <v>100</v>
      </c>
      <c r="H179" s="141" t="s">
        <v>3</v>
      </c>
      <c r="I179" s="141" t="s">
        <v>4</v>
      </c>
      <c r="J179" s="47"/>
      <c r="K179" s="141" t="s">
        <v>2815</v>
      </c>
      <c r="L179" s="762">
        <v>44442</v>
      </c>
      <c r="M179" s="141" t="s">
        <v>2816</v>
      </c>
      <c r="N179" s="141" t="s">
        <v>2817</v>
      </c>
      <c r="O179" s="141" t="s">
        <v>2546</v>
      </c>
      <c r="P179" s="141" t="s">
        <v>11</v>
      </c>
      <c r="Q179" s="141" t="s">
        <v>2675</v>
      </c>
      <c r="R179" s="141" t="s">
        <v>20</v>
      </c>
      <c r="S179" s="141" t="s">
        <v>2771</v>
      </c>
      <c r="T179" s="621" t="s">
        <v>169</v>
      </c>
      <c r="U179" s="619" t="str">
        <f>IF(Table13[[#This Row],[Regional]]="JABODETABEK (INNER)", "Rahadian","Rinaldi")</f>
        <v>Rinaldi</v>
      </c>
      <c r="V179" s="621" t="s">
        <v>1978</v>
      </c>
      <c r="W179" s="621">
        <v>-6.2779999999999996</v>
      </c>
      <c r="X179" s="621">
        <v>106.16816</v>
      </c>
      <c r="Y179" s="621">
        <v>52</v>
      </c>
      <c r="Z179" s="5"/>
      <c r="AA179" s="5"/>
      <c r="AB179" s="5"/>
      <c r="AC179" s="40"/>
      <c r="AD179" s="5"/>
      <c r="AE179" s="5"/>
      <c r="AF179" s="626"/>
      <c r="AG179" s="627"/>
      <c r="AH179" s="627">
        <v>30</v>
      </c>
      <c r="AI179" s="626">
        <v>44461</v>
      </c>
      <c r="AJ179" s="698">
        <f>IF(Table13[[#This Row],[RFC Remark]]="DONE",Table13[[#This Row],[RFC Date]]-Table13[[#This Row],[STIP Date]],$AJ$2-Table13[[#This Row],[STIP Date]])</f>
        <v>19</v>
      </c>
      <c r="AK179" s="621" t="s">
        <v>167</v>
      </c>
      <c r="AL179" s="5" t="str">
        <f>IF(Table13[[#This Row],[Aging RFC]]&lt;=85,"ONTIME","DELAY")</f>
        <v>ONTIME</v>
      </c>
      <c r="AM179" s="621"/>
      <c r="AN179" s="621" t="s">
        <v>311</v>
      </c>
      <c r="AO179" s="621" t="s">
        <v>173</v>
      </c>
      <c r="AP179" s="43"/>
      <c r="AQ179" s="629"/>
      <c r="AR179" s="629"/>
    </row>
    <row r="180" spans="1:44" ht="15" customHeight="1">
      <c r="A180" s="49" t="s">
        <v>2731</v>
      </c>
      <c r="B180" s="488" t="s">
        <v>2752</v>
      </c>
      <c r="C180" s="678" t="s">
        <v>2676</v>
      </c>
      <c r="D180" s="678" t="s">
        <v>2677</v>
      </c>
      <c r="E180" s="488" t="s">
        <v>2677</v>
      </c>
      <c r="F180" s="488" t="s">
        <v>10</v>
      </c>
      <c r="G180" s="488" t="s">
        <v>100</v>
      </c>
      <c r="H180" s="488" t="s">
        <v>3</v>
      </c>
      <c r="I180" s="488" t="s">
        <v>4</v>
      </c>
      <c r="J180" s="47"/>
      <c r="K180" s="488" t="s">
        <v>2800</v>
      </c>
      <c r="L180" s="609">
        <v>44442</v>
      </c>
      <c r="M180" s="488" t="s">
        <v>2801</v>
      </c>
      <c r="N180" s="488" t="s">
        <v>2802</v>
      </c>
      <c r="O180" s="488" t="s">
        <v>2546</v>
      </c>
      <c r="P180" s="488" t="s">
        <v>11</v>
      </c>
      <c r="Q180" s="488" t="s">
        <v>2212</v>
      </c>
      <c r="R180" s="488" t="s">
        <v>20</v>
      </c>
      <c r="S180" s="488" t="s">
        <v>2660</v>
      </c>
      <c r="T180" s="49" t="s">
        <v>169</v>
      </c>
      <c r="U180" s="470" t="s">
        <v>2909</v>
      </c>
      <c r="V180" s="49" t="s">
        <v>1978</v>
      </c>
      <c r="W180" s="49">
        <v>-6.5275299999999996</v>
      </c>
      <c r="X180" s="49">
        <v>106.22568</v>
      </c>
      <c r="Y180" s="49">
        <v>62</v>
      </c>
      <c r="Z180" s="5"/>
      <c r="AA180" s="5"/>
      <c r="AB180" s="5"/>
      <c r="AC180" s="40"/>
      <c r="AD180" s="5"/>
      <c r="AE180" s="5"/>
      <c r="AF180" s="51"/>
      <c r="AG180" s="52"/>
      <c r="AH180" s="52">
        <v>30</v>
      </c>
      <c r="AI180" s="51">
        <v>44461</v>
      </c>
      <c r="AJ180" s="593">
        <f>IF(Table13[[#This Row],[RFC Remark]]="DONE",Table13[[#This Row],[RFC Date]]-Table13[[#This Row],[STIP Date]],$AJ$2-Table13[[#This Row],[STIP Date]])</f>
        <v>19</v>
      </c>
      <c r="AK180" s="49" t="s">
        <v>167</v>
      </c>
      <c r="AL180" s="5" t="str">
        <f>IF(Table13[[#This Row],[Aging RFC]]&lt;=85,"ONTIME","DELAY")</f>
        <v>ONTIME</v>
      </c>
      <c r="AM180" s="49"/>
      <c r="AN180" s="49" t="s">
        <v>311</v>
      </c>
      <c r="AO180" s="49" t="s">
        <v>173</v>
      </c>
      <c r="AP180" s="43"/>
      <c r="AQ180" s="53"/>
      <c r="AR180" s="53"/>
    </row>
    <row r="181" spans="1:44" ht="15" customHeight="1">
      <c r="A181" s="5" t="s">
        <v>2737</v>
      </c>
      <c r="B181" s="2" t="s">
        <v>2758</v>
      </c>
      <c r="C181" s="562" t="s">
        <v>2684</v>
      </c>
      <c r="D181" s="562" t="s">
        <v>2685</v>
      </c>
      <c r="E181" s="2" t="s">
        <v>2685</v>
      </c>
      <c r="F181" s="2" t="s">
        <v>10</v>
      </c>
      <c r="G181" s="2" t="s">
        <v>100</v>
      </c>
      <c r="H181" s="2" t="s">
        <v>3</v>
      </c>
      <c r="I181" s="2" t="s">
        <v>4</v>
      </c>
      <c r="J181" s="745"/>
      <c r="K181" s="2" t="s">
        <v>2818</v>
      </c>
      <c r="L181" s="28">
        <v>44442</v>
      </c>
      <c r="M181" s="2" t="s">
        <v>2819</v>
      </c>
      <c r="N181" s="2" t="s">
        <v>2820</v>
      </c>
      <c r="O181" s="2" t="s">
        <v>2963</v>
      </c>
      <c r="P181" s="2" t="s">
        <v>11</v>
      </c>
      <c r="Q181" s="2" t="s">
        <v>763</v>
      </c>
      <c r="R181" s="2" t="s">
        <v>13</v>
      </c>
      <c r="S181" s="2" t="s">
        <v>2771</v>
      </c>
      <c r="T181" s="5" t="s">
        <v>221</v>
      </c>
      <c r="U181" s="4" t="s">
        <v>2908</v>
      </c>
      <c r="V181" s="5" t="s">
        <v>2295</v>
      </c>
      <c r="W181" s="238">
        <v>-6.2445500000000003</v>
      </c>
      <c r="X181" s="238">
        <v>107.29841999999999</v>
      </c>
      <c r="Y181" s="5">
        <v>52</v>
      </c>
      <c r="Z181" s="47"/>
      <c r="AA181" s="5"/>
      <c r="AB181" s="5"/>
      <c r="AC181" s="40"/>
      <c r="AD181" s="5"/>
      <c r="AE181" s="408"/>
      <c r="AF181" s="31">
        <v>44484</v>
      </c>
      <c r="AG181" s="34">
        <v>44484</v>
      </c>
      <c r="AH181" s="34">
        <v>44514</v>
      </c>
      <c r="AI181" s="31">
        <v>44479</v>
      </c>
      <c r="AJ181" s="22">
        <f>IF(Table13[[#This Row],[RFC Remark]]="DONE",Table13[[#This Row],[RFC Date]]-Table13[[#This Row],[STIP Date]],$AJ$2-Table13[[#This Row],[STIP Date]])</f>
        <v>37</v>
      </c>
      <c r="AK181" s="5" t="s">
        <v>167</v>
      </c>
      <c r="AL181" s="5" t="str">
        <f>IF(Table13[[#This Row],[Aging RFC]]&lt;=85,"ONTIME","DELAY")</f>
        <v>ONTIME</v>
      </c>
      <c r="AM181" s="5"/>
      <c r="AN181" s="5" t="s">
        <v>311</v>
      </c>
      <c r="AO181" s="5" t="s">
        <v>173</v>
      </c>
      <c r="AP181" s="748"/>
      <c r="AQ181" s="43"/>
      <c r="AR181" s="43"/>
    </row>
    <row r="182" spans="1:44" ht="15" customHeight="1">
      <c r="A182" s="5" t="s">
        <v>2738</v>
      </c>
      <c r="B182" s="2" t="s">
        <v>2759</v>
      </c>
      <c r="C182" s="562" t="s">
        <v>2669</v>
      </c>
      <c r="D182" s="562" t="s">
        <v>2670</v>
      </c>
      <c r="E182" s="2" t="s">
        <v>2670</v>
      </c>
      <c r="F182" s="2" t="s">
        <v>10</v>
      </c>
      <c r="G182" s="2" t="s">
        <v>100</v>
      </c>
      <c r="H182" s="2" t="s">
        <v>3</v>
      </c>
      <c r="I182" s="2" t="s">
        <v>4</v>
      </c>
      <c r="J182" s="745"/>
      <c r="K182" s="2" t="s">
        <v>2821</v>
      </c>
      <c r="L182" s="28">
        <v>44442</v>
      </c>
      <c r="M182" s="2" t="s">
        <v>2822</v>
      </c>
      <c r="N182" s="2" t="s">
        <v>2823</v>
      </c>
      <c r="O182" s="25" t="s">
        <v>2877</v>
      </c>
      <c r="P182" s="2" t="s">
        <v>11</v>
      </c>
      <c r="Q182" s="2" t="s">
        <v>772</v>
      </c>
      <c r="R182" s="2" t="s">
        <v>20</v>
      </c>
      <c r="S182" s="2" t="s">
        <v>2771</v>
      </c>
      <c r="T182" s="5" t="s">
        <v>2856</v>
      </c>
      <c r="U182" s="4" t="str">
        <f>IF(Table13[[#This Row],[Regional]]="JABODETABEK (INNER)", "Rahadian","Rinaldi")</f>
        <v>Rinaldi</v>
      </c>
      <c r="V182" s="5" t="s">
        <v>1978</v>
      </c>
      <c r="W182" s="238">
        <v>-6.2499900000000004</v>
      </c>
      <c r="X182" s="238">
        <v>106.34715</v>
      </c>
      <c r="Y182" s="238">
        <v>52</v>
      </c>
      <c r="Z182" s="47"/>
      <c r="AA182" s="5"/>
      <c r="AB182" s="5"/>
      <c r="AC182" s="40"/>
      <c r="AD182" s="5"/>
      <c r="AE182" s="408"/>
      <c r="AF182" s="31" t="e">
        <v>#N/A</v>
      </c>
      <c r="AG182" s="31" t="e">
        <v>#N/A</v>
      </c>
      <c r="AH182" s="34" t="e">
        <v>#N/A</v>
      </c>
      <c r="AI182" s="31">
        <v>44469</v>
      </c>
      <c r="AJ182" s="22">
        <f>IF(Table13[[#This Row],[RFC Remark]]="DONE",Table13[[#This Row],[RFC Date]]-Table13[[#This Row],[STIP Date]],$AJ$2-Table13[[#This Row],[STIP Date]])</f>
        <v>27</v>
      </c>
      <c r="AK182" s="5" t="s">
        <v>167</v>
      </c>
      <c r="AL182" s="5" t="str">
        <f>IF(Table13[[#This Row],[Aging RFC]]&lt;=85,"ONTIME","DELAY")</f>
        <v>ONTIME</v>
      </c>
      <c r="AM182" s="5"/>
      <c r="AN182" s="5" t="s">
        <v>311</v>
      </c>
      <c r="AO182" s="5" t="s">
        <v>173</v>
      </c>
      <c r="AP182" s="748"/>
      <c r="AQ182" s="43"/>
      <c r="AR182" s="43"/>
    </row>
    <row r="183" spans="1:44" ht="15" customHeight="1">
      <c r="A183" s="5" t="s">
        <v>2725</v>
      </c>
      <c r="B183" s="2" t="s">
        <v>2746</v>
      </c>
      <c r="C183" s="562" t="s">
        <v>2665</v>
      </c>
      <c r="D183" s="562" t="s">
        <v>2661</v>
      </c>
      <c r="E183" s="2" t="s">
        <v>2661</v>
      </c>
      <c r="F183" s="2" t="s">
        <v>10</v>
      </c>
      <c r="G183" s="2" t="s">
        <v>100</v>
      </c>
      <c r="H183" s="2" t="s">
        <v>3</v>
      </c>
      <c r="I183" s="2" t="s">
        <v>4</v>
      </c>
      <c r="J183" s="745"/>
      <c r="K183" s="2" t="s">
        <v>2782</v>
      </c>
      <c r="L183" s="28">
        <v>44442</v>
      </c>
      <c r="M183" s="2" t="s">
        <v>2783</v>
      </c>
      <c r="N183" s="2" t="s">
        <v>2784</v>
      </c>
      <c r="O183" s="2" t="s">
        <v>2869</v>
      </c>
      <c r="P183" s="2" t="s">
        <v>11</v>
      </c>
      <c r="Q183" s="2" t="s">
        <v>659</v>
      </c>
      <c r="R183" s="2" t="s">
        <v>13</v>
      </c>
      <c r="S183" s="2" t="s">
        <v>633</v>
      </c>
      <c r="T183" s="5" t="s">
        <v>2833</v>
      </c>
      <c r="U183" s="4" t="s">
        <v>2908</v>
      </c>
      <c r="V183" s="5" t="s">
        <v>1978</v>
      </c>
      <c r="W183" s="5">
        <v>-6.5473800000000004</v>
      </c>
      <c r="X183" s="5">
        <v>106.7873</v>
      </c>
      <c r="Y183" s="5">
        <v>42</v>
      </c>
      <c r="Z183" s="47"/>
      <c r="AA183" s="5"/>
      <c r="AB183" s="5"/>
      <c r="AC183" s="40"/>
      <c r="AD183" s="5"/>
      <c r="AE183" s="408"/>
      <c r="AF183" s="31">
        <v>44474</v>
      </c>
      <c r="AG183" s="34">
        <v>44474</v>
      </c>
      <c r="AH183" s="34">
        <v>44504</v>
      </c>
      <c r="AI183" s="31">
        <v>44477</v>
      </c>
      <c r="AJ183" s="22">
        <f>IF(Table13[[#This Row],[RFC Remark]]="DONE",Table13[[#This Row],[RFC Date]]-Table13[[#This Row],[STIP Date]],$AJ$2-Table13[[#This Row],[STIP Date]])</f>
        <v>35</v>
      </c>
      <c r="AK183" s="5" t="s">
        <v>167</v>
      </c>
      <c r="AL183" s="5" t="str">
        <f>IF(Table13[[#This Row],[Aging RFC]]&lt;=85,"ONTIME","DELAY")</f>
        <v>ONTIME</v>
      </c>
      <c r="AM183" s="5"/>
      <c r="AN183" s="5" t="s">
        <v>2597</v>
      </c>
      <c r="AO183" s="5" t="s">
        <v>173</v>
      </c>
      <c r="AP183" s="748"/>
      <c r="AQ183" s="43"/>
      <c r="AR183" s="43"/>
    </row>
    <row r="184" spans="1:44" ht="15" customHeight="1">
      <c r="A184" s="5" t="s">
        <v>2728</v>
      </c>
      <c r="B184" s="2" t="s">
        <v>2749</v>
      </c>
      <c r="C184" s="562" t="s">
        <v>2666</v>
      </c>
      <c r="D184" s="562" t="s">
        <v>2662</v>
      </c>
      <c r="E184" s="2" t="s">
        <v>2662</v>
      </c>
      <c r="F184" s="2" t="s">
        <v>10</v>
      </c>
      <c r="G184" s="2" t="s">
        <v>100</v>
      </c>
      <c r="H184" s="2" t="s">
        <v>3</v>
      </c>
      <c r="I184" s="2" t="s">
        <v>4</v>
      </c>
      <c r="J184" s="745"/>
      <c r="K184" s="2" t="s">
        <v>2791</v>
      </c>
      <c r="L184" s="28">
        <v>44442</v>
      </c>
      <c r="M184" s="2" t="s">
        <v>2792</v>
      </c>
      <c r="N184" s="2" t="s">
        <v>2793</v>
      </c>
      <c r="O184" s="2" t="s">
        <v>2872</v>
      </c>
      <c r="P184" s="2" t="s">
        <v>11</v>
      </c>
      <c r="Q184" s="2" t="s">
        <v>26</v>
      </c>
      <c r="R184" s="2" t="s">
        <v>13</v>
      </c>
      <c r="S184" s="2" t="s">
        <v>2660</v>
      </c>
      <c r="T184" s="5" t="s">
        <v>168</v>
      </c>
      <c r="U184" s="4" t="s">
        <v>2908</v>
      </c>
      <c r="V184" s="5" t="s">
        <v>1978</v>
      </c>
      <c r="W184" s="5">
        <v>-6.32951</v>
      </c>
      <c r="X184" s="5">
        <v>106.51725999999999</v>
      </c>
      <c r="Y184" s="5">
        <v>62</v>
      </c>
      <c r="Z184" s="47"/>
      <c r="AA184" s="5"/>
      <c r="AB184" s="5"/>
      <c r="AC184" s="40"/>
      <c r="AD184" s="5"/>
      <c r="AE184" s="408"/>
      <c r="AF184" s="31" t="e">
        <v>#N/A</v>
      </c>
      <c r="AG184" s="31" t="e">
        <v>#N/A</v>
      </c>
      <c r="AH184" s="34" t="e">
        <v>#N/A</v>
      </c>
      <c r="AI184" s="31">
        <v>44463</v>
      </c>
      <c r="AJ184" s="22">
        <f>IF(Table13[[#This Row],[RFC Remark]]="DONE",Table13[[#This Row],[RFC Date]]-Table13[[#This Row],[STIP Date]],$AJ$2-Table13[[#This Row],[STIP Date]])</f>
        <v>21</v>
      </c>
      <c r="AK184" s="5" t="s">
        <v>167</v>
      </c>
      <c r="AL184" s="5" t="str">
        <f>IF(Table13[[#This Row],[Aging RFC]]&lt;=85,"ONTIME","DELAY")</f>
        <v>ONTIME</v>
      </c>
      <c r="AM184" s="5"/>
      <c r="AN184" s="5" t="s">
        <v>311</v>
      </c>
      <c r="AO184" s="5" t="s">
        <v>173</v>
      </c>
      <c r="AP184" s="748"/>
      <c r="AQ184" s="43"/>
      <c r="AR184" s="43"/>
    </row>
    <row r="185" spans="1:44" ht="15" customHeight="1">
      <c r="A185" s="5" t="s">
        <v>2734</v>
      </c>
      <c r="B185" s="2" t="s">
        <v>2755</v>
      </c>
      <c r="C185" s="562" t="s">
        <v>2703</v>
      </c>
      <c r="D185" s="562" t="s">
        <v>2704</v>
      </c>
      <c r="E185" s="2" t="s">
        <v>2704</v>
      </c>
      <c r="F185" s="2" t="s">
        <v>10</v>
      </c>
      <c r="G185" s="2" t="s">
        <v>100</v>
      </c>
      <c r="H185" s="2" t="s">
        <v>3</v>
      </c>
      <c r="I185" s="2" t="s">
        <v>4</v>
      </c>
      <c r="J185" s="745"/>
      <c r="K185" s="2" t="s">
        <v>2809</v>
      </c>
      <c r="L185" s="28">
        <v>44442</v>
      </c>
      <c r="M185" s="2" t="s">
        <v>2810</v>
      </c>
      <c r="N185" s="2" t="s">
        <v>2811</v>
      </c>
      <c r="O185" s="2" t="s">
        <v>2879</v>
      </c>
      <c r="P185" s="2" t="s">
        <v>11</v>
      </c>
      <c r="Q185" s="2" t="s">
        <v>19</v>
      </c>
      <c r="R185" s="2" t="s">
        <v>20</v>
      </c>
      <c r="S185" s="2" t="s">
        <v>2771</v>
      </c>
      <c r="T185" s="5" t="s">
        <v>2144</v>
      </c>
      <c r="U185" s="4" t="s">
        <v>2909</v>
      </c>
      <c r="V185" s="4" t="s">
        <v>1978</v>
      </c>
      <c r="W185" s="238">
        <v>-6.1010299999999997</v>
      </c>
      <c r="X185" s="238">
        <v>106.5318</v>
      </c>
      <c r="Y185" s="238">
        <v>52</v>
      </c>
      <c r="Z185" s="47"/>
      <c r="AA185" s="5"/>
      <c r="AB185" s="5"/>
      <c r="AC185" s="40"/>
      <c r="AD185" s="5"/>
      <c r="AE185" s="408"/>
      <c r="AF185" s="30" t="e">
        <f>VLOOKUP(Table13[[#This Row],[SONum]],[2]Worksheet1!$B$1:$Z$59,23,0)</f>
        <v>#N/A</v>
      </c>
      <c r="AG185" s="30" t="e">
        <f>VLOOKUP(Table13[[#This Row],[SONum]],[2]Worksheet1!$B$1:$Z$59,24,0)</f>
        <v>#N/A</v>
      </c>
      <c r="AH185" s="30" t="e">
        <f>VLOOKUP(Table13[[#This Row],[SONum]],[2]Worksheet1!$B$1:$Z$59,25,0)</f>
        <v>#N/A</v>
      </c>
      <c r="AI185" s="31">
        <v>44488</v>
      </c>
      <c r="AJ185" s="22">
        <f>IF(Table13[[#This Row],[RFC Remark]]="DONE",Table13[[#This Row],[RFC Date]]-Table13[[#This Row],[STIP Date]],$AJ$2-Table13[[#This Row],[STIP Date]])</f>
        <v>46</v>
      </c>
      <c r="AK185" s="5" t="s">
        <v>167</v>
      </c>
      <c r="AL185" s="5" t="str">
        <f>IF(Table13[[#This Row],[Aging RFC]]&lt;=85,"ONTIME","DELAY")</f>
        <v>ONTIME</v>
      </c>
      <c r="AM185" s="5"/>
      <c r="AN185" s="5" t="s">
        <v>2597</v>
      </c>
      <c r="AO185" s="5" t="s">
        <v>173</v>
      </c>
      <c r="AP185" s="748"/>
      <c r="AQ185" s="43" t="s">
        <v>3183</v>
      </c>
      <c r="AR185" s="43"/>
    </row>
    <row r="186" spans="1:44" ht="15" customHeight="1">
      <c r="A186" s="5" t="s">
        <v>2735</v>
      </c>
      <c r="B186" s="2" t="s">
        <v>2756</v>
      </c>
      <c r="C186" s="562" t="s">
        <v>2678</v>
      </c>
      <c r="D186" s="562" t="s">
        <v>2679</v>
      </c>
      <c r="E186" s="2" t="s">
        <v>2679</v>
      </c>
      <c r="F186" s="2" t="s">
        <v>10</v>
      </c>
      <c r="G186" s="2" t="s">
        <v>100</v>
      </c>
      <c r="H186" s="2" t="s">
        <v>3</v>
      </c>
      <c r="I186" s="2" t="s">
        <v>4</v>
      </c>
      <c r="J186" s="745"/>
      <c r="K186" s="2" t="s">
        <v>2812</v>
      </c>
      <c r="L186" s="28">
        <v>44442</v>
      </c>
      <c r="M186" s="2" t="s">
        <v>2813</v>
      </c>
      <c r="N186" s="2" t="s">
        <v>2814</v>
      </c>
      <c r="O186" s="2" t="s">
        <v>2546</v>
      </c>
      <c r="P186" s="2" t="s">
        <v>11</v>
      </c>
      <c r="Q186" s="2" t="s">
        <v>19</v>
      </c>
      <c r="R186" s="2" t="s">
        <v>20</v>
      </c>
      <c r="S186" s="2" t="s">
        <v>633</v>
      </c>
      <c r="T186" s="5" t="s">
        <v>2855</v>
      </c>
      <c r="U186" s="4" t="s">
        <v>2909</v>
      </c>
      <c r="V186" s="5" t="s">
        <v>2162</v>
      </c>
      <c r="W186" s="5">
        <v>-6.0893499999999996</v>
      </c>
      <c r="X186" s="5">
        <v>106.38714</v>
      </c>
      <c r="Y186" s="5">
        <v>52</v>
      </c>
      <c r="Z186" s="47"/>
      <c r="AA186" s="5"/>
      <c r="AB186" s="5"/>
      <c r="AC186" s="40"/>
      <c r="AD186" s="5"/>
      <c r="AE186" s="408"/>
      <c r="AF186" s="31" t="e">
        <v>#N/A</v>
      </c>
      <c r="AG186" s="31" t="e">
        <v>#N/A</v>
      </c>
      <c r="AH186" s="34" t="e">
        <v>#N/A</v>
      </c>
      <c r="AI186" s="31">
        <v>44469</v>
      </c>
      <c r="AJ186" s="22">
        <f>IF(Table13[[#This Row],[RFC Remark]]="DONE",Table13[[#This Row],[RFC Date]]-Table13[[#This Row],[STIP Date]],$AJ$2-Table13[[#This Row],[STIP Date]])</f>
        <v>27</v>
      </c>
      <c r="AK186" s="5" t="s">
        <v>167</v>
      </c>
      <c r="AL186" s="5" t="str">
        <f>IF(Table13[[#This Row],[Aging RFC]]&lt;=85,"ONTIME","DELAY")</f>
        <v>ONTIME</v>
      </c>
      <c r="AM186" s="5"/>
      <c r="AN186" s="5" t="s">
        <v>311</v>
      </c>
      <c r="AO186" s="5" t="s">
        <v>173</v>
      </c>
      <c r="AP186" s="748"/>
      <c r="AQ186" s="43"/>
      <c r="AR186" s="43"/>
    </row>
    <row r="187" spans="1:44" ht="15" customHeight="1">
      <c r="A187" s="5" t="s">
        <v>2739</v>
      </c>
      <c r="B187" s="2" t="s">
        <v>2760</v>
      </c>
      <c r="C187" s="562" t="s">
        <v>2664</v>
      </c>
      <c r="D187" s="562" t="s">
        <v>2663</v>
      </c>
      <c r="E187" s="2" t="s">
        <v>2663</v>
      </c>
      <c r="F187" s="2" t="s">
        <v>10</v>
      </c>
      <c r="G187" s="2" t="s">
        <v>100</v>
      </c>
      <c r="H187" s="2" t="s">
        <v>3</v>
      </c>
      <c r="I187" s="2" t="s">
        <v>4</v>
      </c>
      <c r="J187" s="745"/>
      <c r="K187" s="2" t="s">
        <v>2824</v>
      </c>
      <c r="L187" s="28">
        <v>44442</v>
      </c>
      <c r="M187" s="2" t="s">
        <v>2825</v>
      </c>
      <c r="N187" s="2" t="s">
        <v>2826</v>
      </c>
      <c r="O187" s="2" t="s">
        <v>2905</v>
      </c>
      <c r="P187" s="2" t="s">
        <v>11</v>
      </c>
      <c r="Q187" s="2" t="s">
        <v>19</v>
      </c>
      <c r="R187" s="2" t="s">
        <v>20</v>
      </c>
      <c r="S187" s="2" t="s">
        <v>2660</v>
      </c>
      <c r="T187" s="5" t="s">
        <v>2855</v>
      </c>
      <c r="U187" s="4" t="s">
        <v>2909</v>
      </c>
      <c r="V187" s="5" t="s">
        <v>1975</v>
      </c>
      <c r="W187" s="818">
        <v>-6.0472299999999999</v>
      </c>
      <c r="X187" s="818">
        <v>106.40222</v>
      </c>
      <c r="Y187" s="5">
        <v>62</v>
      </c>
      <c r="Z187" s="5"/>
      <c r="AA187" s="5"/>
      <c r="AB187" s="5"/>
      <c r="AC187" s="40"/>
      <c r="AD187" s="5"/>
      <c r="AE187" s="5"/>
      <c r="AF187" s="30" t="e">
        <f>VLOOKUP(Table13[[#This Row],[SONum]],[2]Worksheet1!$B$1:$Z$59,23,0)</f>
        <v>#N/A</v>
      </c>
      <c r="AG187" s="30" t="e">
        <f>VLOOKUP(Table13[[#This Row],[SONum]],[2]Worksheet1!$B$1:$Z$59,24,0)</f>
        <v>#N/A</v>
      </c>
      <c r="AH187" s="30" t="e">
        <f>VLOOKUP(Table13[[#This Row],[SONum]],[2]Worksheet1!$B$1:$Z$59,25,0)</f>
        <v>#N/A</v>
      </c>
      <c r="AI187" s="31">
        <v>44508</v>
      </c>
      <c r="AJ187" s="22">
        <f>IF(Table13[[#This Row],[RFC Remark]]="DONE",Table13[[#This Row],[RFC Date]]-Table13[[#This Row],[STIP Date]],$AJ$2-Table13[[#This Row],[STIP Date]])</f>
        <v>66</v>
      </c>
      <c r="AK187" s="5" t="s">
        <v>167</v>
      </c>
      <c r="AL187" s="5" t="str">
        <f>IF(Table13[[#This Row],[Aging RFC]]&lt;=85,"ONTIME","DELAY")</f>
        <v>ONTIME</v>
      </c>
      <c r="AM187" s="745"/>
      <c r="AN187" s="5" t="s">
        <v>2597</v>
      </c>
      <c r="AO187" s="5" t="s">
        <v>173</v>
      </c>
      <c r="AP187" s="43"/>
      <c r="AQ187" s="43" t="s">
        <v>3190</v>
      </c>
      <c r="AR187" s="43"/>
    </row>
    <row r="188" spans="1:44" ht="15" customHeight="1">
      <c r="A188" s="621" t="s">
        <v>2733</v>
      </c>
      <c r="B188" s="141" t="s">
        <v>2754</v>
      </c>
      <c r="C188" s="685" t="s">
        <v>2691</v>
      </c>
      <c r="D188" s="685" t="s">
        <v>2692</v>
      </c>
      <c r="E188" s="141" t="s">
        <v>2692</v>
      </c>
      <c r="F188" s="141" t="s">
        <v>10</v>
      </c>
      <c r="G188" s="141" t="s">
        <v>100</v>
      </c>
      <c r="H188" s="141" t="s">
        <v>3</v>
      </c>
      <c r="I188" s="141" t="s">
        <v>4</v>
      </c>
      <c r="J188" s="47"/>
      <c r="K188" s="141" t="s">
        <v>2806</v>
      </c>
      <c r="L188" s="762">
        <v>44442</v>
      </c>
      <c r="M188" s="141" t="s">
        <v>2807</v>
      </c>
      <c r="N188" s="141" t="s">
        <v>2808</v>
      </c>
      <c r="O188" s="141" t="s">
        <v>2546</v>
      </c>
      <c r="P188" s="141" t="s">
        <v>11</v>
      </c>
      <c r="Q188" s="141" t="s">
        <v>26</v>
      </c>
      <c r="R188" s="141" t="s">
        <v>13</v>
      </c>
      <c r="S188" s="141" t="s">
        <v>633</v>
      </c>
      <c r="T188" s="621" t="s">
        <v>168</v>
      </c>
      <c r="U188" s="619" t="s">
        <v>2908</v>
      </c>
      <c r="V188" s="621" t="s">
        <v>1978</v>
      </c>
      <c r="W188" s="621">
        <v>-6.40421</v>
      </c>
      <c r="X188" s="621">
        <v>106.61632</v>
      </c>
      <c r="Y188" s="621">
        <v>42</v>
      </c>
      <c r="Z188" s="621"/>
      <c r="AA188" s="621"/>
      <c r="AB188" s="621"/>
      <c r="AC188" s="625"/>
      <c r="AD188" s="621"/>
      <c r="AE188" s="621"/>
      <c r="AF188" s="626"/>
      <c r="AG188" s="627"/>
      <c r="AH188" s="627">
        <v>30</v>
      </c>
      <c r="AI188" s="626">
        <v>44452</v>
      </c>
      <c r="AJ188" s="698">
        <f>IF(Table13[[#This Row],[RFC Remark]]="DONE",Table13[[#This Row],[RFC Date]]-Table13[[#This Row],[STIP Date]],$AJ$2-Table13[[#This Row],[STIP Date]])</f>
        <v>10</v>
      </c>
      <c r="AK188" s="621" t="s">
        <v>167</v>
      </c>
      <c r="AL188" s="5" t="str">
        <f>IF(Table13[[#This Row],[Aging RFC]]&lt;=85,"ONTIME","DELAY")</f>
        <v>ONTIME</v>
      </c>
      <c r="AM188" s="621"/>
      <c r="AN188" s="621" t="s">
        <v>311</v>
      </c>
      <c r="AO188" s="621" t="s">
        <v>173</v>
      </c>
      <c r="AP188" s="629"/>
      <c r="AQ188" s="629"/>
      <c r="AR188" s="629"/>
    </row>
    <row r="189" spans="1:44" ht="15" hidden="1" customHeight="1">
      <c r="A189" s="5" t="s">
        <v>2721</v>
      </c>
      <c r="B189" s="2" t="s">
        <v>2742</v>
      </c>
      <c r="C189" s="562" t="s">
        <v>2695</v>
      </c>
      <c r="D189" s="562" t="s">
        <v>2696</v>
      </c>
      <c r="E189" s="2" t="s">
        <v>2696</v>
      </c>
      <c r="F189" s="2" t="s">
        <v>10</v>
      </c>
      <c r="G189" s="2" t="s">
        <v>100</v>
      </c>
      <c r="H189" s="2" t="s">
        <v>3</v>
      </c>
      <c r="I189" s="2" t="s">
        <v>4</v>
      </c>
      <c r="J189" s="47"/>
      <c r="K189" s="2" t="s">
        <v>2768</v>
      </c>
      <c r="L189" s="28">
        <v>44442</v>
      </c>
      <c r="M189" s="2" t="s">
        <v>2769</v>
      </c>
      <c r="N189" s="2" t="s">
        <v>2770</v>
      </c>
      <c r="O189" s="389" t="s">
        <v>2546</v>
      </c>
      <c r="P189" s="2" t="s">
        <v>2697</v>
      </c>
      <c r="Q189" s="2" t="s">
        <v>2698</v>
      </c>
      <c r="R189" s="2" t="s">
        <v>13</v>
      </c>
      <c r="S189" s="2" t="s">
        <v>2771</v>
      </c>
      <c r="T189" s="5" t="s">
        <v>594</v>
      </c>
      <c r="U189" s="4" t="s">
        <v>2697</v>
      </c>
      <c r="V189" s="5"/>
      <c r="W189" s="5"/>
      <c r="X189" s="5"/>
      <c r="Y189" s="5"/>
      <c r="Z189" s="5"/>
      <c r="AA189" s="5"/>
      <c r="AB189" s="5"/>
      <c r="AC189" s="40"/>
      <c r="AD189" s="5"/>
      <c r="AE189" s="5"/>
      <c r="AF189" s="31" t="e">
        <v>#N/A</v>
      </c>
      <c r="AG189" s="34" t="e">
        <v>#N/A</v>
      </c>
      <c r="AH189" s="34" t="e">
        <v>#N/A</v>
      </c>
      <c r="AI189" s="863">
        <v>44474</v>
      </c>
      <c r="AJ189" s="22">
        <f>IF(Table13[[#This Row],[RFC Remark]]="DONE",Table13[[#This Row],[RFC Date]]-Table13[[#This Row],[STIP Date]],$AJ$2-Table13[[#This Row],[STIP Date]])</f>
        <v>32</v>
      </c>
      <c r="AK189" s="49" t="s">
        <v>167</v>
      </c>
      <c r="AL189" s="5"/>
      <c r="AM189" s="5"/>
      <c r="AN189" s="621" t="s">
        <v>311</v>
      </c>
      <c r="AO189" s="5" t="s">
        <v>173</v>
      </c>
      <c r="AP189" s="43"/>
      <c r="AQ189" s="43" t="s">
        <v>2697</v>
      </c>
      <c r="AR189" s="43"/>
    </row>
    <row r="190" spans="1:44" ht="15" hidden="1" customHeight="1">
      <c r="A190" s="49" t="s">
        <v>2729</v>
      </c>
      <c r="B190" s="488" t="s">
        <v>2750</v>
      </c>
      <c r="C190" s="678" t="s">
        <v>2693</v>
      </c>
      <c r="D190" s="678" t="s">
        <v>2694</v>
      </c>
      <c r="E190" s="488" t="s">
        <v>2694</v>
      </c>
      <c r="F190" s="488" t="s">
        <v>10</v>
      </c>
      <c r="G190" s="488" t="s">
        <v>100</v>
      </c>
      <c r="H190" s="488" t="s">
        <v>3</v>
      </c>
      <c r="I190" s="488" t="s">
        <v>4</v>
      </c>
      <c r="J190" s="47"/>
      <c r="K190" s="488" t="s">
        <v>2794</v>
      </c>
      <c r="L190" s="609">
        <v>44442</v>
      </c>
      <c r="M190" s="488" t="s">
        <v>2795</v>
      </c>
      <c r="N190" s="488" t="s">
        <v>2796</v>
      </c>
      <c r="O190" s="488" t="s">
        <v>2546</v>
      </c>
      <c r="P190" s="2" t="s">
        <v>2697</v>
      </c>
      <c r="Q190" s="488" t="s">
        <v>2698</v>
      </c>
      <c r="R190" s="488" t="s">
        <v>13</v>
      </c>
      <c r="S190" s="488" t="s">
        <v>2771</v>
      </c>
      <c r="T190" s="49" t="s">
        <v>594</v>
      </c>
      <c r="U190" s="470" t="s">
        <v>2697</v>
      </c>
      <c r="V190" s="49" t="s">
        <v>1978</v>
      </c>
      <c r="W190" s="761">
        <v>-6.6091899999999999</v>
      </c>
      <c r="X190" s="761">
        <v>107.39166</v>
      </c>
      <c r="Y190" s="49"/>
      <c r="Z190" s="5"/>
      <c r="AA190" s="5"/>
      <c r="AB190" s="5"/>
      <c r="AC190" s="40"/>
      <c r="AD190" s="5"/>
      <c r="AE190" s="5"/>
      <c r="AF190" s="31" t="e">
        <v>#N/A</v>
      </c>
      <c r="AG190" s="34" t="e">
        <v>#N/A</v>
      </c>
      <c r="AH190" s="52" t="e">
        <v>#N/A</v>
      </c>
      <c r="AI190" s="863">
        <v>44474</v>
      </c>
      <c r="AJ190" s="593">
        <f>IF(Table13[[#This Row],[RFC Remark]]="DONE",Table13[[#This Row],[RFC Date]]-Table13[[#This Row],[STIP Date]],$AJ$2-Table13[[#This Row],[STIP Date]])</f>
        <v>32</v>
      </c>
      <c r="AK190" s="49" t="s">
        <v>167</v>
      </c>
      <c r="AL190" s="49"/>
      <c r="AM190" s="49"/>
      <c r="AN190" s="621" t="s">
        <v>311</v>
      </c>
      <c r="AO190" s="5" t="s">
        <v>173</v>
      </c>
      <c r="AP190" s="43"/>
      <c r="AQ190" s="43" t="s">
        <v>2697</v>
      </c>
      <c r="AR190" s="53"/>
    </row>
    <row r="191" spans="1:44" ht="15" customHeight="1">
      <c r="A191" s="5" t="s">
        <v>2732</v>
      </c>
      <c r="B191" s="2" t="s">
        <v>2753</v>
      </c>
      <c r="C191" s="562" t="s">
        <v>2710</v>
      </c>
      <c r="D191" s="562" t="s">
        <v>2711</v>
      </c>
      <c r="E191" s="2" t="s">
        <v>2711</v>
      </c>
      <c r="F191" s="2" t="s">
        <v>10</v>
      </c>
      <c r="G191" s="2" t="s">
        <v>100</v>
      </c>
      <c r="H191" s="2" t="s">
        <v>3</v>
      </c>
      <c r="I191" s="2" t="s">
        <v>4</v>
      </c>
      <c r="J191" s="745"/>
      <c r="K191" s="2" t="s">
        <v>2803</v>
      </c>
      <c r="L191" s="28">
        <v>44442</v>
      </c>
      <c r="M191" s="2" t="s">
        <v>2804</v>
      </c>
      <c r="N191" s="2" t="s">
        <v>2805</v>
      </c>
      <c r="O191" s="2" t="s">
        <v>2878</v>
      </c>
      <c r="P191" s="2" t="s">
        <v>11</v>
      </c>
      <c r="Q191" s="2" t="s">
        <v>19</v>
      </c>
      <c r="R191" s="2" t="s">
        <v>20</v>
      </c>
      <c r="S191" s="2" t="s">
        <v>2771</v>
      </c>
      <c r="T191" s="5" t="s">
        <v>2144</v>
      </c>
      <c r="U191" s="4" t="s">
        <v>2909</v>
      </c>
      <c r="V191" s="238" t="s">
        <v>1978</v>
      </c>
      <c r="W191" s="238">
        <v>-6.2897299999999996</v>
      </c>
      <c r="X191" s="238">
        <v>106.40245</v>
      </c>
      <c r="Y191" s="4">
        <v>52</v>
      </c>
      <c r="Z191" s="47"/>
      <c r="AA191" s="5"/>
      <c r="AB191" s="5"/>
      <c r="AC191" s="40"/>
      <c r="AD191" s="5"/>
      <c r="AE191" s="408"/>
      <c r="AF191" s="31">
        <v>44480</v>
      </c>
      <c r="AG191" s="34">
        <v>44480</v>
      </c>
      <c r="AH191" s="34">
        <v>44510</v>
      </c>
      <c r="AI191" s="31">
        <v>44488</v>
      </c>
      <c r="AJ191" s="22">
        <f>IF(Table13[[#This Row],[RFC Remark]]="DONE",Table13[[#This Row],[RFC Date]]-Table13[[#This Row],[STIP Date]],$AJ$2-Table13[[#This Row],[STIP Date]])</f>
        <v>46</v>
      </c>
      <c r="AK191" s="5" t="s">
        <v>167</v>
      </c>
      <c r="AL191" s="5" t="str">
        <f>IF(Table13[[#This Row],[Aging RFC]]&lt;=85,"ONTIME","DELAY")</f>
        <v>ONTIME</v>
      </c>
      <c r="AM191" s="5"/>
      <c r="AN191" s="5" t="s">
        <v>2597</v>
      </c>
      <c r="AO191" s="5" t="s">
        <v>173</v>
      </c>
      <c r="AP191" s="748"/>
      <c r="AQ191" s="43" t="s">
        <v>3061</v>
      </c>
      <c r="AR191" s="43"/>
    </row>
    <row r="192" spans="1:44" ht="15" customHeight="1">
      <c r="A192" s="5" t="s">
        <v>2726</v>
      </c>
      <c r="B192" s="2" t="s">
        <v>2747</v>
      </c>
      <c r="C192" s="562" t="s">
        <v>2712</v>
      </c>
      <c r="D192" s="562" t="s">
        <v>2713</v>
      </c>
      <c r="E192" s="2" t="s">
        <v>2713</v>
      </c>
      <c r="F192" s="2" t="s">
        <v>10</v>
      </c>
      <c r="G192" s="2" t="s">
        <v>100</v>
      </c>
      <c r="H192" s="2" t="s">
        <v>3</v>
      </c>
      <c r="I192" s="2" t="s">
        <v>4</v>
      </c>
      <c r="J192" s="745"/>
      <c r="K192" s="2" t="s">
        <v>2785</v>
      </c>
      <c r="L192" s="28">
        <v>44442</v>
      </c>
      <c r="M192" s="2" t="s">
        <v>2786</v>
      </c>
      <c r="N192" s="2" t="s">
        <v>2787</v>
      </c>
      <c r="O192" s="2" t="s">
        <v>2897</v>
      </c>
      <c r="P192" s="2" t="s">
        <v>11</v>
      </c>
      <c r="Q192" s="2" t="s">
        <v>12</v>
      </c>
      <c r="R192" s="2" t="s">
        <v>13</v>
      </c>
      <c r="S192" s="2" t="s">
        <v>2771</v>
      </c>
      <c r="T192" s="5" t="s">
        <v>168</v>
      </c>
      <c r="U192" s="4" t="s">
        <v>2908</v>
      </c>
      <c r="V192" s="5" t="s">
        <v>1978</v>
      </c>
      <c r="W192" s="5">
        <v>-6.8861800000000004</v>
      </c>
      <c r="X192" s="5">
        <v>106.94962</v>
      </c>
      <c r="Y192" s="5">
        <v>52</v>
      </c>
      <c r="Z192" s="47"/>
      <c r="AA192" s="5"/>
      <c r="AB192" s="5"/>
      <c r="AC192" s="40"/>
      <c r="AD192" s="5"/>
      <c r="AE192" s="408"/>
      <c r="AF192" s="31">
        <v>44489</v>
      </c>
      <c r="AG192" s="34">
        <v>44489</v>
      </c>
      <c r="AH192" s="34">
        <v>44519</v>
      </c>
      <c r="AI192" s="31">
        <v>44477</v>
      </c>
      <c r="AJ192" s="22">
        <f>IF(Table13[[#This Row],[RFC Remark]]="DONE",Table13[[#This Row],[RFC Date]]-Table13[[#This Row],[STIP Date]],$AJ$2-Table13[[#This Row],[STIP Date]])</f>
        <v>35</v>
      </c>
      <c r="AK192" s="5" t="s">
        <v>167</v>
      </c>
      <c r="AL192" s="5" t="str">
        <f>IF(Table13[[#This Row],[Aging RFC]]&lt;=85,"ONTIME","DELAY")</f>
        <v>ONTIME</v>
      </c>
      <c r="AM192" s="5"/>
      <c r="AN192" s="5" t="s">
        <v>173</v>
      </c>
      <c r="AO192" s="5" t="s">
        <v>173</v>
      </c>
      <c r="AP192" s="748"/>
      <c r="AQ192" s="43" t="s">
        <v>3060</v>
      </c>
      <c r="AR192" s="43"/>
    </row>
    <row r="193" spans="1:44" ht="15" customHeight="1">
      <c r="A193" s="5" t="s">
        <v>2741</v>
      </c>
      <c r="B193" s="2" t="s">
        <v>2762</v>
      </c>
      <c r="C193" s="562" t="s">
        <v>2700</v>
      </c>
      <c r="D193" s="562" t="s">
        <v>2701</v>
      </c>
      <c r="E193" s="2" t="s">
        <v>2701</v>
      </c>
      <c r="F193" s="2" t="s">
        <v>10</v>
      </c>
      <c r="G193" s="2" t="s">
        <v>100</v>
      </c>
      <c r="H193" s="2" t="s">
        <v>3</v>
      </c>
      <c r="I193" s="2" t="s">
        <v>4</v>
      </c>
      <c r="J193" s="744"/>
      <c r="K193" s="2" t="s">
        <v>2830</v>
      </c>
      <c r="L193" s="28">
        <v>44442</v>
      </c>
      <c r="M193" s="2" t="s">
        <v>2831</v>
      </c>
      <c r="N193" s="2" t="s">
        <v>2832</v>
      </c>
      <c r="O193" s="2" t="s">
        <v>3172</v>
      </c>
      <c r="P193" s="2" t="s">
        <v>11</v>
      </c>
      <c r="Q193" s="2" t="s">
        <v>12</v>
      </c>
      <c r="R193" s="2" t="s">
        <v>13</v>
      </c>
      <c r="S193" s="2" t="s">
        <v>2771</v>
      </c>
      <c r="T193" s="5" t="s">
        <v>168</v>
      </c>
      <c r="U193" s="4" t="s">
        <v>2908</v>
      </c>
      <c r="V193" s="5" t="s">
        <v>2295</v>
      </c>
      <c r="W193" s="807">
        <v>-7.2471100000000002</v>
      </c>
      <c r="X193" s="807">
        <v>106.62452</v>
      </c>
      <c r="Y193" s="5">
        <v>52</v>
      </c>
      <c r="Z193" s="5"/>
      <c r="AA193" s="5"/>
      <c r="AB193" s="5"/>
      <c r="AC193" s="40"/>
      <c r="AD193" s="5"/>
      <c r="AE193" s="5"/>
      <c r="AF193" s="31">
        <v>44496</v>
      </c>
      <c r="AG193" s="34">
        <v>44496</v>
      </c>
      <c r="AH193" s="34">
        <v>44526</v>
      </c>
      <c r="AI193" s="31">
        <v>44498</v>
      </c>
      <c r="AJ193" s="22">
        <f>IF(Table13[[#This Row],[RFC Remark]]="DONE",Table13[[#This Row],[RFC Date]]-Table13[[#This Row],[STIP Date]],$AJ$2-Table13[[#This Row],[STIP Date]])</f>
        <v>56</v>
      </c>
      <c r="AK193" s="5" t="s">
        <v>167</v>
      </c>
      <c r="AL193" s="5" t="str">
        <f>IF(Table13[[#This Row],[Aging RFC]]&lt;=85,"ONTIME","DELAY")</f>
        <v>ONTIME</v>
      </c>
      <c r="AM193" s="745"/>
      <c r="AN193" s="5" t="s">
        <v>311</v>
      </c>
      <c r="AO193" s="5" t="s">
        <v>173</v>
      </c>
      <c r="AP193" s="43"/>
      <c r="AQ193" s="43" t="s">
        <v>3184</v>
      </c>
      <c r="AR193" s="43"/>
    </row>
    <row r="194" spans="1:44" ht="15" customHeight="1">
      <c r="A194" s="621" t="s">
        <v>2740</v>
      </c>
      <c r="B194" s="141" t="s">
        <v>2761</v>
      </c>
      <c r="C194" s="685" t="s">
        <v>2686</v>
      </c>
      <c r="D194" s="685" t="s">
        <v>2766</v>
      </c>
      <c r="E194" s="141" t="s">
        <v>2766</v>
      </c>
      <c r="F194" s="141" t="s">
        <v>10</v>
      </c>
      <c r="G194" s="141" t="s">
        <v>100</v>
      </c>
      <c r="H194" s="141" t="s">
        <v>3</v>
      </c>
      <c r="I194" s="141" t="s">
        <v>4</v>
      </c>
      <c r="J194" s="744"/>
      <c r="K194" s="141" t="s">
        <v>2827</v>
      </c>
      <c r="L194" s="762">
        <v>44442</v>
      </c>
      <c r="M194" s="141" t="s">
        <v>2828</v>
      </c>
      <c r="N194" s="141" t="s">
        <v>2829</v>
      </c>
      <c r="O194" s="141" t="s">
        <v>2962</v>
      </c>
      <c r="P194" s="141" t="s">
        <v>11</v>
      </c>
      <c r="Q194" s="141" t="s">
        <v>763</v>
      </c>
      <c r="R194" s="141" t="s">
        <v>13</v>
      </c>
      <c r="S194" s="141" t="s">
        <v>633</v>
      </c>
      <c r="T194" s="621" t="s">
        <v>221</v>
      </c>
      <c r="U194" s="619" t="s">
        <v>2908</v>
      </c>
      <c r="V194" s="621" t="s">
        <v>2162</v>
      </c>
      <c r="W194" s="142">
        <v>-6.3483599999999996</v>
      </c>
      <c r="X194" s="142">
        <v>107.35751</v>
      </c>
      <c r="Y194" s="621">
        <v>42</v>
      </c>
      <c r="Z194" s="620"/>
      <c r="AA194" s="621"/>
      <c r="AB194" s="621"/>
      <c r="AC194" s="625"/>
      <c r="AD194" s="621"/>
      <c r="AE194" s="828"/>
      <c r="AF194" s="626">
        <v>44482</v>
      </c>
      <c r="AG194" s="627">
        <v>44482</v>
      </c>
      <c r="AH194" s="627">
        <v>44512</v>
      </c>
      <c r="AI194" s="626">
        <v>44486</v>
      </c>
      <c r="AJ194" s="698">
        <f>IF(Table13[[#This Row],[RFC Remark]]="DONE",Table13[[#This Row],[RFC Date]]-Table13[[#This Row],[STIP Date]],$AJ$2-Table13[[#This Row],[STIP Date]])</f>
        <v>44</v>
      </c>
      <c r="AK194" s="621" t="s">
        <v>167</v>
      </c>
      <c r="AL194" s="5" t="str">
        <f>IF(Table13[[#This Row],[Aging RFC]]&lt;=85,"ONTIME","DELAY")</f>
        <v>ONTIME</v>
      </c>
      <c r="AM194" s="5"/>
      <c r="AN194" s="621" t="s">
        <v>173</v>
      </c>
      <c r="AO194" s="621" t="s">
        <v>173</v>
      </c>
      <c r="AP194" s="833"/>
      <c r="AQ194" s="629"/>
      <c r="AR194" s="629"/>
    </row>
    <row r="195" spans="1:44" ht="15" customHeight="1">
      <c r="A195" s="5" t="s">
        <v>2898</v>
      </c>
      <c r="B195" s="2" t="s">
        <v>2899</v>
      </c>
      <c r="C195" s="2" t="s">
        <v>2900</v>
      </c>
      <c r="D195" s="400" t="s">
        <v>2901</v>
      </c>
      <c r="E195" s="2" t="s">
        <v>2901</v>
      </c>
      <c r="F195" s="2" t="s">
        <v>10</v>
      </c>
      <c r="G195" s="2" t="s">
        <v>100</v>
      </c>
      <c r="H195" s="2" t="s">
        <v>54</v>
      </c>
      <c r="I195" s="2" t="s">
        <v>4</v>
      </c>
      <c r="J195" s="744"/>
      <c r="K195" s="2" t="s">
        <v>2902</v>
      </c>
      <c r="L195" s="28">
        <v>44453</v>
      </c>
      <c r="M195" s="2" t="s">
        <v>2903</v>
      </c>
      <c r="N195" s="2" t="s">
        <v>2904</v>
      </c>
      <c r="O195" s="5"/>
      <c r="P195" s="2" t="s">
        <v>11</v>
      </c>
      <c r="Q195" s="2" t="s">
        <v>26</v>
      </c>
      <c r="R195" s="2" t="s">
        <v>13</v>
      </c>
      <c r="S195" s="2" t="s">
        <v>633</v>
      </c>
      <c r="T195" s="5" t="s">
        <v>2856</v>
      </c>
      <c r="U195" s="5" t="s">
        <v>2908</v>
      </c>
      <c r="V195" s="5"/>
      <c r="W195" s="5"/>
      <c r="X195" s="5"/>
      <c r="Y195" s="5"/>
      <c r="Z195" s="5"/>
      <c r="AA195" s="5"/>
      <c r="AB195" s="5"/>
      <c r="AC195" s="40"/>
      <c r="AD195" s="5"/>
      <c r="AE195" s="5"/>
      <c r="AF195" s="30" t="e">
        <f>VLOOKUP(Table13[[#This Row],[SONum]],[2]Worksheet1!$B$1:$Z$59,23,0)</f>
        <v>#N/A</v>
      </c>
      <c r="AG195" s="30" t="e">
        <f>VLOOKUP(Table13[[#This Row],[SONum]],[2]Worksheet1!$B$1:$Z$59,24,0)</f>
        <v>#N/A</v>
      </c>
      <c r="AH195" s="30" t="e">
        <f>VLOOKUP(Table13[[#This Row],[SONum]],[2]Worksheet1!$B$1:$Z$59,25,0)</f>
        <v>#N/A</v>
      </c>
      <c r="AI195" s="31"/>
      <c r="AJ195" s="22">
        <f ca="1">IF(Table13[[#This Row],[RFC Remark]]="DONE",Table13[[#This Row],[RFC Date]]-Table13[[#This Row],[STIP Date]],$AJ$2-Table13[[#This Row],[STIP Date]])</f>
        <v>381</v>
      </c>
      <c r="AK195" s="5"/>
      <c r="AL195" s="5"/>
      <c r="AM195" s="745"/>
      <c r="AN195" s="5" t="s">
        <v>312</v>
      </c>
      <c r="AO195" s="5" t="s">
        <v>2866</v>
      </c>
      <c r="AP195" s="43"/>
      <c r="AQ195" s="43" t="s">
        <v>3185</v>
      </c>
      <c r="AR195" s="43" t="s">
        <v>3442</v>
      </c>
    </row>
    <row r="196" spans="1:44" ht="15" customHeight="1">
      <c r="A196" s="5" t="s">
        <v>2949</v>
      </c>
      <c r="B196" s="2" t="s">
        <v>2950</v>
      </c>
      <c r="C196" s="2" t="s">
        <v>2951</v>
      </c>
      <c r="D196" s="2" t="s">
        <v>2952</v>
      </c>
      <c r="E196" s="2" t="s">
        <v>2953</v>
      </c>
      <c r="F196" s="2" t="s">
        <v>10</v>
      </c>
      <c r="G196" s="2" t="s">
        <v>100</v>
      </c>
      <c r="H196" s="2" t="s">
        <v>54</v>
      </c>
      <c r="I196" s="2" t="s">
        <v>4</v>
      </c>
      <c r="J196" s="744"/>
      <c r="K196" s="2" t="s">
        <v>2954</v>
      </c>
      <c r="L196" s="28">
        <v>44459</v>
      </c>
      <c r="M196" s="2" t="s">
        <v>2955</v>
      </c>
      <c r="N196" s="2" t="s">
        <v>2956</v>
      </c>
      <c r="O196" s="2" t="s">
        <v>3262</v>
      </c>
      <c r="P196" s="2" t="s">
        <v>11</v>
      </c>
      <c r="Q196" s="2" t="s">
        <v>26</v>
      </c>
      <c r="R196" s="2" t="s">
        <v>13</v>
      </c>
      <c r="S196" s="2" t="s">
        <v>633</v>
      </c>
      <c r="T196" s="5" t="s">
        <v>168</v>
      </c>
      <c r="U196" s="5" t="s">
        <v>2908</v>
      </c>
      <c r="V196" s="5" t="s">
        <v>316</v>
      </c>
      <c r="W196" s="5">
        <v>-6.4549599999999998</v>
      </c>
      <c r="X196" s="5">
        <v>106.79745</v>
      </c>
      <c r="Y196" s="5">
        <v>42</v>
      </c>
      <c r="Z196" s="5"/>
      <c r="AA196" s="5"/>
      <c r="AB196" s="5"/>
      <c r="AC196" s="40"/>
      <c r="AD196" s="5"/>
      <c r="AE196" s="5"/>
      <c r="AF196" s="30" t="e">
        <f>VLOOKUP(Table13[[#This Row],[SONum]],[2]Worksheet1!$B$1:$Z$59,23,0)</f>
        <v>#N/A</v>
      </c>
      <c r="AG196" s="30" t="e">
        <f>VLOOKUP(Table13[[#This Row],[SONum]],[2]Worksheet1!$B$1:$Z$59,24,0)</f>
        <v>#N/A</v>
      </c>
      <c r="AH196" s="30" t="e">
        <f>VLOOKUP(Table13[[#This Row],[SONum]],[2]Worksheet1!$B$1:$Z$59,25,0)</f>
        <v>#N/A</v>
      </c>
      <c r="AI196" s="31">
        <v>44518</v>
      </c>
      <c r="AJ196" s="22">
        <f>IF(Table13[[#This Row],[RFC Remark]]="DONE",Table13[[#This Row],[RFC Date]]-Table13[[#This Row],[STIP Date]],$AJ$2-Table13[[#This Row],[STIP Date]])</f>
        <v>59</v>
      </c>
      <c r="AK196" s="5" t="s">
        <v>167</v>
      </c>
      <c r="AL196" s="5" t="str">
        <f>IF(Table13[[#This Row],[Aging RFC]]&lt;=85,"ONTIME","DELAY")</f>
        <v>ONTIME</v>
      </c>
      <c r="AM196" s="745"/>
      <c r="AN196" s="5" t="s">
        <v>2597</v>
      </c>
      <c r="AO196" s="5" t="s">
        <v>173</v>
      </c>
      <c r="AP196" s="43"/>
      <c r="AQ196" s="43"/>
      <c r="AR196" s="43"/>
    </row>
    <row r="197" spans="1:44" ht="15" customHeight="1">
      <c r="A197" s="2" t="s">
        <v>2967</v>
      </c>
      <c r="B197" s="2" t="s">
        <v>2968</v>
      </c>
      <c r="C197" s="11" t="s">
        <v>2887</v>
      </c>
      <c r="D197" s="11" t="s">
        <v>2886</v>
      </c>
      <c r="E197" s="2" t="s">
        <v>2886</v>
      </c>
      <c r="F197" s="2" t="s">
        <v>10</v>
      </c>
      <c r="G197" s="2" t="s">
        <v>100</v>
      </c>
      <c r="H197" s="2" t="s">
        <v>3</v>
      </c>
      <c r="I197" s="5" t="s">
        <v>4</v>
      </c>
      <c r="J197" s="744"/>
      <c r="K197" s="2" t="s">
        <v>2969</v>
      </c>
      <c r="L197" s="28">
        <v>44460</v>
      </c>
      <c r="M197" s="2" t="s">
        <v>2970</v>
      </c>
      <c r="N197" s="2" t="s">
        <v>2971</v>
      </c>
      <c r="O197" s="5" t="s">
        <v>3312</v>
      </c>
      <c r="P197" s="2" t="s">
        <v>11</v>
      </c>
      <c r="Q197" s="7" t="s">
        <v>26</v>
      </c>
      <c r="R197" s="2" t="s">
        <v>13</v>
      </c>
      <c r="S197" s="2" t="s">
        <v>2771</v>
      </c>
      <c r="T197" s="5" t="s">
        <v>168</v>
      </c>
      <c r="U197" s="5" t="s">
        <v>2908</v>
      </c>
      <c r="V197" s="5" t="s">
        <v>2295</v>
      </c>
      <c r="W197" s="5">
        <v>106.7433</v>
      </c>
      <c r="X197" s="5">
        <v>-6.5291100000000002</v>
      </c>
      <c r="Y197" s="5">
        <v>42</v>
      </c>
      <c r="Z197" s="5"/>
      <c r="AA197" s="5"/>
      <c r="AB197" s="5"/>
      <c r="AC197" s="40"/>
      <c r="AD197" s="5"/>
      <c r="AE197" s="5"/>
      <c r="AF197" s="30" t="e">
        <f>VLOOKUP(Table13[[#This Row],[SONum]],[2]Worksheet1!$B$1:$Z$59,23,0)</f>
        <v>#N/A</v>
      </c>
      <c r="AG197" s="30" t="e">
        <f>VLOOKUP(Table13[[#This Row],[SONum]],[2]Worksheet1!$B$1:$Z$59,24,0)</f>
        <v>#N/A</v>
      </c>
      <c r="AH197" s="30" t="e">
        <f>VLOOKUP(Table13[[#This Row],[SONum]],[2]Worksheet1!$B$1:$Z$59,25,0)</f>
        <v>#N/A</v>
      </c>
      <c r="AI197" s="31">
        <v>44530</v>
      </c>
      <c r="AJ197" s="22">
        <f>IF(Table13[[#This Row],[RFC Remark]]="DONE",Table13[[#This Row],[RFC Date]]-Table13[[#This Row],[STIP Date]],$AJ$2-Table13[[#This Row],[STIP Date]])</f>
        <v>70</v>
      </c>
      <c r="AK197" s="5" t="s">
        <v>167</v>
      </c>
      <c r="AL197" s="5" t="str">
        <f>IF(Table13[[#This Row],[Aging RFC]]&lt;=85,"ONTIME","DELAY")</f>
        <v>ONTIME</v>
      </c>
      <c r="AM197" s="745"/>
      <c r="AN197" s="5" t="s">
        <v>2597</v>
      </c>
      <c r="AO197" s="5" t="s">
        <v>173</v>
      </c>
      <c r="AP197" s="43"/>
      <c r="AQ197" s="43"/>
      <c r="AR197" s="43"/>
    </row>
    <row r="198" spans="1:44" ht="15" customHeight="1">
      <c r="A198" s="2" t="s">
        <v>2972</v>
      </c>
      <c r="B198" s="2" t="s">
        <v>2973</v>
      </c>
      <c r="C198" s="11" t="s">
        <v>2859</v>
      </c>
      <c r="D198" s="675" t="s">
        <v>2860</v>
      </c>
      <c r="E198" s="2" t="s">
        <v>2860</v>
      </c>
      <c r="F198" s="2" t="s">
        <v>10</v>
      </c>
      <c r="G198" s="2" t="s">
        <v>100</v>
      </c>
      <c r="H198" s="2" t="s">
        <v>3</v>
      </c>
      <c r="I198" s="5" t="s">
        <v>4</v>
      </c>
      <c r="J198" s="744"/>
      <c r="K198" s="2" t="s">
        <v>2974</v>
      </c>
      <c r="L198" s="28">
        <v>44460</v>
      </c>
      <c r="M198" s="2" t="s">
        <v>2975</v>
      </c>
      <c r="N198" s="2" t="s">
        <v>2976</v>
      </c>
      <c r="O198" s="2" t="s">
        <v>3294</v>
      </c>
      <c r="P198" s="2" t="s">
        <v>11</v>
      </c>
      <c r="Q198" s="2" t="s">
        <v>659</v>
      </c>
      <c r="R198" s="2" t="s">
        <v>13</v>
      </c>
      <c r="S198" s="2" t="s">
        <v>633</v>
      </c>
      <c r="T198" s="5" t="s">
        <v>594</v>
      </c>
      <c r="U198" s="5" t="s">
        <v>2908</v>
      </c>
      <c r="V198" s="5" t="s">
        <v>2295</v>
      </c>
      <c r="W198" s="807">
        <v>-6.5344199999999999</v>
      </c>
      <c r="X198" s="807">
        <v>106.78708</v>
      </c>
      <c r="Y198" s="5">
        <v>42</v>
      </c>
      <c r="Z198" s="5"/>
      <c r="AA198" s="5"/>
      <c r="AB198" s="5"/>
      <c r="AC198" s="40"/>
      <c r="AD198" s="5"/>
      <c r="AE198" s="5"/>
      <c r="AF198" s="30" t="e">
        <f>VLOOKUP(Table13[[#This Row],[SONum]],[2]Worksheet1!$B$1:$Z$59,23,0)</f>
        <v>#N/A</v>
      </c>
      <c r="AG198" s="30" t="e">
        <f>VLOOKUP(Table13[[#This Row],[SONum]],[2]Worksheet1!$B$1:$Z$59,24,0)</f>
        <v>#N/A</v>
      </c>
      <c r="AH198" s="30" t="e">
        <f>VLOOKUP(Table13[[#This Row],[SONum]],[2]Worksheet1!$B$1:$Z$59,25,0)</f>
        <v>#N/A</v>
      </c>
      <c r="AI198" s="31">
        <v>44557</v>
      </c>
      <c r="AJ198" s="22">
        <f>IF(Table13[[#This Row],[RFC Remark]]="DONE",Table13[[#This Row],[RFC Date]]-Table13[[#This Row],[STIP Date]],$AJ$2-Table13[[#This Row],[STIP Date]])</f>
        <v>97</v>
      </c>
      <c r="AK198" s="5" t="s">
        <v>167</v>
      </c>
      <c r="AL198" s="5"/>
      <c r="AM198" s="745"/>
      <c r="AN198" s="5" t="s">
        <v>174</v>
      </c>
      <c r="AO198" s="5" t="s">
        <v>2907</v>
      </c>
      <c r="AP198" s="43"/>
      <c r="AQ198" s="43" t="s">
        <v>3186</v>
      </c>
      <c r="AR198" s="43"/>
    </row>
    <row r="199" spans="1:44" ht="15" customHeight="1">
      <c r="A199" s="141" t="s">
        <v>2977</v>
      </c>
      <c r="B199" s="141" t="s">
        <v>2978</v>
      </c>
      <c r="C199" s="141" t="s">
        <v>2940</v>
      </c>
      <c r="D199" s="141" t="s">
        <v>2861</v>
      </c>
      <c r="E199" s="141" t="s">
        <v>2861</v>
      </c>
      <c r="F199" s="141" t="s">
        <v>10</v>
      </c>
      <c r="G199" s="621" t="s">
        <v>100</v>
      </c>
      <c r="H199" s="141" t="s">
        <v>3</v>
      </c>
      <c r="I199" s="621" t="s">
        <v>4</v>
      </c>
      <c r="J199" s="246"/>
      <c r="K199" s="141" t="s">
        <v>2979</v>
      </c>
      <c r="L199" s="762">
        <v>44460</v>
      </c>
      <c r="M199" s="141" t="s">
        <v>2980</v>
      </c>
      <c r="N199" s="141" t="s">
        <v>2981</v>
      </c>
      <c r="O199" s="141" t="s">
        <v>2546</v>
      </c>
      <c r="P199" s="141" t="s">
        <v>11</v>
      </c>
      <c r="Q199" s="141" t="s">
        <v>26</v>
      </c>
      <c r="R199" s="141" t="s">
        <v>13</v>
      </c>
      <c r="S199" s="141" t="s">
        <v>2771</v>
      </c>
      <c r="T199" s="621" t="s">
        <v>168</v>
      </c>
      <c r="U199" s="621" t="s">
        <v>2908</v>
      </c>
      <c r="V199" s="621"/>
      <c r="W199" s="621"/>
      <c r="X199" s="621"/>
      <c r="Y199" s="621"/>
      <c r="Z199" s="495"/>
      <c r="AA199" s="637"/>
      <c r="AB199" s="637"/>
      <c r="AC199" s="642"/>
      <c r="AD199" s="637"/>
      <c r="AE199" s="746"/>
      <c r="AF199" s="626">
        <v>44489</v>
      </c>
      <c r="AG199" s="627">
        <v>44489</v>
      </c>
      <c r="AH199" s="627">
        <v>44519</v>
      </c>
      <c r="AI199" s="626">
        <v>44486</v>
      </c>
      <c r="AJ199" s="698">
        <f>IF(Table13[[#This Row],[RFC Remark]]="DONE",Table13[[#This Row],[RFC Date]]-Table13[[#This Row],[STIP Date]],$AJ$2-Table13[[#This Row],[STIP Date]])</f>
        <v>26</v>
      </c>
      <c r="AK199" s="621" t="s">
        <v>167</v>
      </c>
      <c r="AL199" s="5" t="str">
        <f>IF(Table13[[#This Row],[Aging RFC]]&lt;=85,"ONTIME","DELAY")</f>
        <v>ONTIME</v>
      </c>
      <c r="AM199" s="5"/>
      <c r="AN199" s="621" t="s">
        <v>173</v>
      </c>
      <c r="AO199" s="621" t="s">
        <v>173</v>
      </c>
      <c r="AP199" s="749"/>
      <c r="AQ199" s="629" t="s">
        <v>3187</v>
      </c>
      <c r="AR199" s="629"/>
    </row>
    <row r="200" spans="1:44" ht="15" customHeight="1">
      <c r="A200" s="24" t="s">
        <v>3040</v>
      </c>
      <c r="B200" s="24" t="s">
        <v>3041</v>
      </c>
      <c r="C200" s="783" t="s">
        <v>2858</v>
      </c>
      <c r="D200" s="2" t="s">
        <v>3162</v>
      </c>
      <c r="E200" s="2" t="s">
        <v>3162</v>
      </c>
      <c r="F200" s="2" t="s">
        <v>10</v>
      </c>
      <c r="G200" s="2" t="s">
        <v>100</v>
      </c>
      <c r="H200" s="2" t="s">
        <v>3</v>
      </c>
      <c r="I200" s="5" t="s">
        <v>4</v>
      </c>
      <c r="J200" s="744"/>
      <c r="K200" s="2" t="s">
        <v>3223</v>
      </c>
      <c r="L200" s="28">
        <v>44460</v>
      </c>
      <c r="M200" s="2" t="s">
        <v>3224</v>
      </c>
      <c r="N200" s="2" t="s">
        <v>3225</v>
      </c>
      <c r="O200" s="5" t="s">
        <v>3307</v>
      </c>
      <c r="P200" s="2" t="s">
        <v>11</v>
      </c>
      <c r="Q200" s="2" t="s">
        <v>638</v>
      </c>
      <c r="R200" s="2" t="s">
        <v>13</v>
      </c>
      <c r="S200" s="2" t="s">
        <v>2771</v>
      </c>
      <c r="T200" s="5" t="s">
        <v>221</v>
      </c>
      <c r="U200" s="5" t="s">
        <v>2908</v>
      </c>
      <c r="V200" s="5" t="s">
        <v>2162</v>
      </c>
      <c r="W200" s="807">
        <v>-6.2018800000000001</v>
      </c>
      <c r="X200" s="807">
        <v>107.18420999999999</v>
      </c>
      <c r="Y200" s="5">
        <v>52</v>
      </c>
      <c r="Z200" s="5"/>
      <c r="AA200" s="5"/>
      <c r="AB200" s="5"/>
      <c r="AC200" s="40"/>
      <c r="AD200" s="5"/>
      <c r="AE200" s="5"/>
      <c r="AF200" s="30" t="e">
        <f>VLOOKUP(Table13[[#This Row],[SONum]],[2]Worksheet1!$B$1:$Z$59,23,0)</f>
        <v>#N/A</v>
      </c>
      <c r="AG200" s="30" t="e">
        <f>VLOOKUP(Table13[[#This Row],[SONum]],[2]Worksheet1!$B$1:$Z$59,24,0)</f>
        <v>#N/A</v>
      </c>
      <c r="AH200" s="30" t="e">
        <f>VLOOKUP(Table13[[#This Row],[SONum]],[2]Worksheet1!$B$1:$Z$59,25,0)</f>
        <v>#N/A</v>
      </c>
      <c r="AI200" s="31">
        <v>44530</v>
      </c>
      <c r="AJ200" s="22">
        <f>IF(Table13[[#This Row],[RFC Remark]]="DONE",Table13[[#This Row],[RFC Date]]-Table13[[#This Row],[STIP Date]],$AJ$2-Table13[[#This Row],[STIP Date]])</f>
        <v>70</v>
      </c>
      <c r="AK200" s="5" t="s">
        <v>167</v>
      </c>
      <c r="AL200" s="5" t="str">
        <f>IF(Table13[[#This Row],[Aging RFC]]&lt;=85,"ONTIME","DELAY")</f>
        <v>ONTIME</v>
      </c>
      <c r="AM200" s="745"/>
      <c r="AN200" s="5" t="s">
        <v>2597</v>
      </c>
      <c r="AO200" s="5" t="s">
        <v>2169</v>
      </c>
      <c r="AP200" s="43"/>
      <c r="AQ200" s="43"/>
      <c r="AR200" s="43" t="s">
        <v>3085</v>
      </c>
    </row>
    <row r="201" spans="1:44" ht="15" customHeight="1">
      <c r="A201" s="2" t="s">
        <v>3239</v>
      </c>
      <c r="B201" s="2" t="s">
        <v>3240</v>
      </c>
      <c r="C201" s="783" t="s">
        <v>2938</v>
      </c>
      <c r="D201" s="2" t="s">
        <v>2939</v>
      </c>
      <c r="E201" s="2" t="s">
        <v>2939</v>
      </c>
      <c r="F201" s="2" t="s">
        <v>10</v>
      </c>
      <c r="G201" s="2" t="s">
        <v>100</v>
      </c>
      <c r="H201" s="2" t="s">
        <v>3</v>
      </c>
      <c r="I201" s="5" t="s">
        <v>4</v>
      </c>
      <c r="J201" s="744"/>
      <c r="K201" s="2" t="s">
        <v>3241</v>
      </c>
      <c r="L201" s="28">
        <v>44494</v>
      </c>
      <c r="M201" s="2" t="s">
        <v>3242</v>
      </c>
      <c r="N201" s="2" t="s">
        <v>3243</v>
      </c>
      <c r="O201" s="2" t="s">
        <v>2546</v>
      </c>
      <c r="P201" s="2" t="s">
        <v>11</v>
      </c>
      <c r="Q201" s="2" t="s">
        <v>638</v>
      </c>
      <c r="R201" s="2" t="s">
        <v>13</v>
      </c>
      <c r="S201" s="2" t="s">
        <v>2771</v>
      </c>
      <c r="T201" s="5" t="s">
        <v>2148</v>
      </c>
      <c r="U201" s="5" t="s">
        <v>2908</v>
      </c>
      <c r="V201" s="5"/>
      <c r="W201" s="5"/>
      <c r="X201" s="5"/>
      <c r="Y201" s="5"/>
      <c r="Z201" s="5"/>
      <c r="AA201" s="5"/>
      <c r="AB201" s="5"/>
      <c r="AC201" s="40"/>
      <c r="AD201" s="5"/>
      <c r="AE201" s="5"/>
      <c r="AF201" s="30">
        <v>44586</v>
      </c>
      <c r="AG201" s="30" t="e">
        <f>VLOOKUP(Table13[[#This Row],[SONum]],[2]Worksheet1!$B$1:$Z$59,24,0)</f>
        <v>#N/A</v>
      </c>
      <c r="AH201" s="30" t="e">
        <f>VLOOKUP(Table13[[#This Row],[SONum]],[2]Worksheet1!$B$1:$Z$59,25,0)</f>
        <v>#N/A</v>
      </c>
      <c r="AI201" s="31"/>
      <c r="AJ201" s="22">
        <f ca="1">IF(Table13[[#This Row],[RFC Remark]]="DONE",Table13[[#This Row],[RFC Date]]-Table13[[#This Row],[STIP Date]],$AJ$2-Table13[[#This Row],[STIP Date]])</f>
        <v>340</v>
      </c>
      <c r="AK201" s="5"/>
      <c r="AL201" s="5"/>
      <c r="AM201" s="745"/>
      <c r="AN201" s="5" t="s">
        <v>174</v>
      </c>
      <c r="AO201" s="5" t="s">
        <v>2076</v>
      </c>
      <c r="AP201" s="43"/>
      <c r="AQ201" s="43"/>
      <c r="AR201" s="43" t="s">
        <v>3085</v>
      </c>
    </row>
    <row r="202" spans="1:44" ht="15" customHeight="1">
      <c r="A202" s="5"/>
      <c r="B202" s="5"/>
      <c r="C202" s="835" t="s">
        <v>2092</v>
      </c>
      <c r="D202" s="19" t="s">
        <v>2114</v>
      </c>
      <c r="E202" s="836" t="s">
        <v>2093</v>
      </c>
      <c r="F202" s="5" t="s">
        <v>2</v>
      </c>
      <c r="G202" s="5" t="s">
        <v>100</v>
      </c>
      <c r="H202" s="5" t="s">
        <v>3</v>
      </c>
      <c r="I202" s="5" t="s">
        <v>216</v>
      </c>
      <c r="J202" s="744"/>
      <c r="K202" s="5"/>
      <c r="L202" s="7"/>
      <c r="M202" s="837">
        <v>-6.3431699999999998</v>
      </c>
      <c r="N202" s="837">
        <v>106.81726999999999</v>
      </c>
      <c r="O202" s="838"/>
      <c r="P202" s="7" t="s">
        <v>5</v>
      </c>
      <c r="Q202" s="7" t="s">
        <v>1079</v>
      </c>
      <c r="R202" s="7" t="s">
        <v>7</v>
      </c>
      <c r="S202" s="61">
        <v>20</v>
      </c>
      <c r="T202" s="5" t="s">
        <v>169</v>
      </c>
      <c r="U202" s="5" t="s">
        <v>165</v>
      </c>
      <c r="V202" s="5"/>
      <c r="W202" s="5"/>
      <c r="X202" s="5"/>
      <c r="Y202" s="5">
        <v>20</v>
      </c>
      <c r="Z202" s="5"/>
      <c r="AA202" s="5"/>
      <c r="AB202" s="40"/>
      <c r="AC202" s="5"/>
      <c r="AD202" s="5"/>
      <c r="AE202" s="5"/>
      <c r="AF202" s="31">
        <v>44216</v>
      </c>
      <c r="AG202" s="34">
        <v>44216</v>
      </c>
      <c r="AH202" s="34">
        <v>44246</v>
      </c>
      <c r="AI202" s="31"/>
      <c r="AJ202" s="63">
        <f>IF(Table13[[#This Row],[RFC Remark]]="DONE",Table13[[#This Row],[RFC Date]]-Table13[[#This Row],[STIP Date]],$AJ$2-Table13[[#This Row],[STIP Date]])</f>
        <v>0</v>
      </c>
      <c r="AK202" s="5" t="s">
        <v>167</v>
      </c>
      <c r="AL202" s="5"/>
      <c r="AM202" s="246"/>
      <c r="AN202" s="5" t="s">
        <v>311</v>
      </c>
      <c r="AO202" s="5"/>
      <c r="AP202" s="43"/>
      <c r="AQ202" s="43"/>
      <c r="AR202" s="5"/>
    </row>
    <row r="203" spans="1:44" ht="15" customHeight="1">
      <c r="A203" s="2" t="s">
        <v>2987</v>
      </c>
      <c r="B203" s="2" t="s">
        <v>2988</v>
      </c>
      <c r="C203" s="783" t="s">
        <v>2867</v>
      </c>
      <c r="D203" s="870" t="s">
        <v>2868</v>
      </c>
      <c r="E203" s="2" t="s">
        <v>2868</v>
      </c>
      <c r="F203" s="2" t="s">
        <v>2</v>
      </c>
      <c r="G203" s="5" t="s">
        <v>100</v>
      </c>
      <c r="H203" s="2" t="s">
        <v>3</v>
      </c>
      <c r="I203" s="5" t="s">
        <v>4</v>
      </c>
      <c r="J203" s="744"/>
      <c r="K203" s="2" t="s">
        <v>2989</v>
      </c>
      <c r="L203" s="28">
        <v>44460</v>
      </c>
      <c r="M203" s="2" t="s">
        <v>2990</v>
      </c>
      <c r="N203" s="2" t="s">
        <v>2991</v>
      </c>
      <c r="O203" s="2" t="s">
        <v>2546</v>
      </c>
      <c r="P203" s="2" t="s">
        <v>5</v>
      </c>
      <c r="Q203" s="2" t="s">
        <v>35</v>
      </c>
      <c r="R203" s="2" t="s">
        <v>7</v>
      </c>
      <c r="S203" s="2" t="s">
        <v>524</v>
      </c>
      <c r="T203" s="5" t="s">
        <v>169</v>
      </c>
      <c r="U203" s="5" t="s">
        <v>2908</v>
      </c>
      <c r="V203" s="5" t="s">
        <v>2162</v>
      </c>
      <c r="W203" s="5">
        <v>-6.2845300000000002</v>
      </c>
      <c r="X203" s="5">
        <v>106.88489</v>
      </c>
      <c r="Y203" s="5">
        <v>25</v>
      </c>
      <c r="Z203" s="5"/>
      <c r="AA203" s="5"/>
      <c r="AB203" s="5"/>
      <c r="AC203" s="40"/>
      <c r="AD203" s="5"/>
      <c r="AE203" s="5"/>
      <c r="AF203" s="30">
        <v>44579</v>
      </c>
      <c r="AG203" s="30" t="e">
        <f>VLOOKUP(Table13[[#This Row],[SONum]],[2]Worksheet1!$B$1:$Z$59,24,0)</f>
        <v>#N/A</v>
      </c>
      <c r="AH203" s="30" t="e">
        <f>VLOOKUP(Table13[[#This Row],[SONum]],[2]Worksheet1!$B$1:$Z$59,25,0)</f>
        <v>#N/A</v>
      </c>
      <c r="AI203" s="31"/>
      <c r="AJ203" s="22">
        <f ca="1">IF(Table13[[#This Row],[RFC Remark]]="DONE",Table13[[#This Row],[RFC Date]]-Table13[[#This Row],[STIP Date]],$AJ$2-Table13[[#This Row],[STIP Date]])</f>
        <v>374</v>
      </c>
      <c r="AK203" s="5"/>
      <c r="AL203" s="5"/>
      <c r="AM203" s="745"/>
      <c r="AN203" s="5" t="s">
        <v>312</v>
      </c>
      <c r="AO203" s="5" t="s">
        <v>2906</v>
      </c>
      <c r="AP203" s="43"/>
      <c r="AQ203" s="43" t="s">
        <v>3062</v>
      </c>
      <c r="AR203" s="43"/>
    </row>
    <row r="204" spans="1:44" ht="15" customHeight="1">
      <c r="A204" t="s">
        <v>3437</v>
      </c>
      <c r="B204" t="s">
        <v>3436</v>
      </c>
      <c r="C204" s="11" t="s">
        <v>2934</v>
      </c>
      <c r="D204" s="675" t="s">
        <v>2935</v>
      </c>
      <c r="E204" t="s">
        <v>2935</v>
      </c>
      <c r="F204" t="s">
        <v>2</v>
      </c>
      <c r="G204" s="5" t="s">
        <v>100</v>
      </c>
      <c r="H204" s="2" t="s">
        <v>3</v>
      </c>
      <c r="I204" s="5" t="s">
        <v>4</v>
      </c>
      <c r="J204" s="744"/>
      <c r="K204" t="s">
        <v>3438</v>
      </c>
      <c r="L204" s="7">
        <v>44554</v>
      </c>
      <c r="M204" t="s">
        <v>3439</v>
      </c>
      <c r="N204" t="s">
        <v>3440</v>
      </c>
      <c r="O204" s="5"/>
      <c r="P204" t="s">
        <v>11</v>
      </c>
      <c r="Q204" s="7" t="s">
        <v>53</v>
      </c>
      <c r="R204" t="s">
        <v>13</v>
      </c>
      <c r="S204" s="61">
        <v>25</v>
      </c>
      <c r="T204" s="5" t="s">
        <v>2652</v>
      </c>
      <c r="U204" s="5" t="s">
        <v>2908</v>
      </c>
      <c r="V204" s="5"/>
      <c r="W204" s="5">
        <v>106.88489</v>
      </c>
      <c r="X204" s="5"/>
      <c r="Y204" s="5"/>
      <c r="Z204" s="5"/>
      <c r="AA204" s="5"/>
      <c r="AB204" s="5"/>
      <c r="AC204" s="40"/>
      <c r="AD204" s="5"/>
      <c r="AE204" s="5"/>
      <c r="AF204" s="30">
        <v>44589</v>
      </c>
      <c r="AG204" s="30" t="e">
        <f>VLOOKUP(Table13[[#This Row],[SONum]],[2]Worksheet1!$B$1:$Z$59,24,0)</f>
        <v>#N/A</v>
      </c>
      <c r="AH204" s="30" t="e">
        <f>VLOOKUP(Table13[[#This Row],[SONum]],[2]Worksheet1!$B$1:$Z$59,25,0)</f>
        <v>#N/A</v>
      </c>
      <c r="AI204" s="31"/>
      <c r="AJ204" s="22">
        <f ca="1">IF(Table13[[#This Row],[RFC Remark]]="DONE",Table13[[#This Row],[RFC Date]]-Table13[[#This Row],[STIP Date]],$AJ$2-Table13[[#This Row],[STIP Date]])</f>
        <v>280</v>
      </c>
      <c r="AK204" s="5"/>
      <c r="AL204" s="5"/>
      <c r="AM204" s="745"/>
      <c r="AN204" s="5" t="s">
        <v>312</v>
      </c>
      <c r="AO204" s="5" t="s">
        <v>2906</v>
      </c>
      <c r="AP204" s="43"/>
      <c r="AQ204" s="43"/>
      <c r="AR204" s="43"/>
    </row>
    <row r="205" spans="1:44" ht="15" customHeight="1">
      <c r="A205" s="591" t="s">
        <v>3400</v>
      </c>
      <c r="B205" s="591" t="s">
        <v>3399</v>
      </c>
      <c r="C205" s="11" t="s">
        <v>2930</v>
      </c>
      <c r="D205" s="675" t="s">
        <v>2931</v>
      </c>
      <c r="E205" s="675" t="s">
        <v>2931</v>
      </c>
      <c r="F205" s="5"/>
      <c r="G205" s="5" t="s">
        <v>100</v>
      </c>
      <c r="H205" s="2" t="s">
        <v>3</v>
      </c>
      <c r="I205" s="5" t="s">
        <v>4</v>
      </c>
      <c r="J205" s="744"/>
      <c r="K205" s="5" t="s">
        <v>3398</v>
      </c>
      <c r="L205" s="28">
        <v>44554</v>
      </c>
      <c r="M205" s="943" t="s">
        <v>3402</v>
      </c>
      <c r="N205" s="943" t="s">
        <v>3401</v>
      </c>
      <c r="O205" s="5" t="s">
        <v>3405</v>
      </c>
      <c r="P205" s="2" t="s">
        <v>11</v>
      </c>
      <c r="Q205" s="7" t="s">
        <v>53</v>
      </c>
      <c r="R205" s="2" t="s">
        <v>13</v>
      </c>
      <c r="S205" s="61">
        <v>25</v>
      </c>
      <c r="T205" s="5" t="s">
        <v>2652</v>
      </c>
      <c r="U205" s="5" t="s">
        <v>2908</v>
      </c>
      <c r="V205" s="5" t="s">
        <v>2162</v>
      </c>
      <c r="W205" s="5">
        <v>-6.25352</v>
      </c>
      <c r="X205" s="5">
        <v>106.97311999999999</v>
      </c>
      <c r="Y205" s="5">
        <v>25</v>
      </c>
      <c r="Z205" s="5"/>
      <c r="AA205" s="5"/>
      <c r="AB205" s="5"/>
      <c r="AC205" s="40"/>
      <c r="AD205" s="5"/>
      <c r="AE205" s="5"/>
      <c r="AF205" s="30">
        <v>44578</v>
      </c>
      <c r="AG205" s="30" t="e">
        <f>VLOOKUP(Table13[[#This Row],[SONum]],[2]Worksheet1!$B$1:$Z$59,24,0)</f>
        <v>#N/A</v>
      </c>
      <c r="AH205" s="30" t="e">
        <f>VLOOKUP(Table13[[#This Row],[SONum]],[2]Worksheet1!$B$1:$Z$59,25,0)</f>
        <v>#N/A</v>
      </c>
      <c r="AI205" s="31"/>
      <c r="AJ205" s="22">
        <f ca="1">IF(Table13[[#This Row],[RFC Remark]]="DONE",Table13[[#This Row],[RFC Date]]-Table13[[#This Row],[STIP Date]],$AJ$2-Table13[[#This Row],[STIP Date]])</f>
        <v>280</v>
      </c>
      <c r="AK205" s="5"/>
      <c r="AL205" s="5"/>
      <c r="AM205" s="745"/>
      <c r="AN205" s="5" t="s">
        <v>312</v>
      </c>
      <c r="AO205" s="5" t="s">
        <v>2906</v>
      </c>
      <c r="AP205" s="43"/>
      <c r="AQ205" s="43"/>
      <c r="AR205" s="43"/>
    </row>
    <row r="206" spans="1:44" ht="15" customHeight="1">
      <c r="A206" s="2" t="s">
        <v>3234</v>
      </c>
      <c r="B206" s="2" t="s">
        <v>3235</v>
      </c>
      <c r="C206" s="11" t="s">
        <v>2924</v>
      </c>
      <c r="D206" s="675" t="s">
        <v>2925</v>
      </c>
      <c r="E206" s="675" t="s">
        <v>2925</v>
      </c>
      <c r="F206" s="5" t="s">
        <v>2</v>
      </c>
      <c r="G206" s="5" t="s">
        <v>100</v>
      </c>
      <c r="H206" s="2" t="s">
        <v>3</v>
      </c>
      <c r="I206" s="5" t="s">
        <v>4</v>
      </c>
      <c r="J206" s="744"/>
      <c r="K206" s="2" t="s">
        <v>3236</v>
      </c>
      <c r="L206" s="28">
        <v>44494</v>
      </c>
      <c r="M206" s="2" t="s">
        <v>3237</v>
      </c>
      <c r="N206" s="2" t="s">
        <v>3238</v>
      </c>
      <c r="O206" s="2" t="s">
        <v>2546</v>
      </c>
      <c r="P206" s="2" t="s">
        <v>5</v>
      </c>
      <c r="Q206" s="2" t="s">
        <v>35</v>
      </c>
      <c r="R206" s="2" t="s">
        <v>7</v>
      </c>
      <c r="S206" s="2" t="s">
        <v>524</v>
      </c>
      <c r="T206" s="5" t="s">
        <v>169</v>
      </c>
      <c r="U206" s="5" t="s">
        <v>2908</v>
      </c>
      <c r="V206" s="5" t="s">
        <v>2162</v>
      </c>
      <c r="W206" s="5">
        <v>-6.1892500000000004</v>
      </c>
      <c r="X206" s="5">
        <v>106.92519</v>
      </c>
      <c r="Y206" s="5">
        <v>25</v>
      </c>
      <c r="Z206" s="5"/>
      <c r="AA206" s="5"/>
      <c r="AB206" s="5"/>
      <c r="AC206" s="40"/>
      <c r="AD206" s="5"/>
      <c r="AE206" s="5"/>
      <c r="AF206" s="30" t="e">
        <f>VLOOKUP(Table13[[#This Row],[SONum]],[2]Worksheet1!$B$1:$Z$59,23,0)</f>
        <v>#N/A</v>
      </c>
      <c r="AG206" s="30" t="e">
        <f>VLOOKUP(Table13[[#This Row],[SONum]],[2]Worksheet1!$B$1:$Z$59,24,0)</f>
        <v>#N/A</v>
      </c>
      <c r="AH206" s="30" t="e">
        <f>VLOOKUP(Table13[[#This Row],[SONum]],[2]Worksheet1!$B$1:$Z$59,25,0)</f>
        <v>#N/A</v>
      </c>
      <c r="AI206" s="31">
        <v>44508</v>
      </c>
      <c r="AJ206" s="22">
        <f>IF(Table13[[#This Row],[RFC Remark]]="DONE",Table13[[#This Row],[RFC Date]]-Table13[[#This Row],[STIP Date]],$AJ$2-Table13[[#This Row],[STIP Date]])</f>
        <v>14</v>
      </c>
      <c r="AK206" s="5" t="s">
        <v>167</v>
      </c>
      <c r="AL206" s="5" t="str">
        <f>IF(Table13[[#This Row],[Aging RFC]]&lt;=85,"ONTIME","DELAY")</f>
        <v>ONTIME</v>
      </c>
      <c r="AM206" s="745"/>
      <c r="AN206" s="5" t="s">
        <v>2597</v>
      </c>
      <c r="AO206" s="5" t="s">
        <v>173</v>
      </c>
      <c r="AP206" s="43"/>
      <c r="AQ206" s="43"/>
      <c r="AR206" s="43" t="s">
        <v>3085</v>
      </c>
    </row>
    <row r="207" spans="1:44" ht="15" customHeight="1">
      <c r="A207" s="2" t="s">
        <v>2992</v>
      </c>
      <c r="B207" s="2" t="s">
        <v>2993</v>
      </c>
      <c r="C207" s="11" t="s">
        <v>2916</v>
      </c>
      <c r="D207" s="675" t="s">
        <v>2917</v>
      </c>
      <c r="E207" s="2" t="s">
        <v>2917</v>
      </c>
      <c r="F207" s="2" t="s">
        <v>10</v>
      </c>
      <c r="G207" s="5" t="s">
        <v>100</v>
      </c>
      <c r="H207" s="2" t="s">
        <v>3</v>
      </c>
      <c r="I207" s="5" t="s">
        <v>4</v>
      </c>
      <c r="J207" s="246"/>
      <c r="K207" s="2" t="s">
        <v>2994</v>
      </c>
      <c r="L207" s="28">
        <v>44461</v>
      </c>
      <c r="M207" s="2" t="s">
        <v>2995</v>
      </c>
      <c r="N207" s="2" t="s">
        <v>2996</v>
      </c>
      <c r="O207" s="2" t="s">
        <v>2546</v>
      </c>
      <c r="P207" s="2" t="s">
        <v>11</v>
      </c>
      <c r="Q207" s="2" t="s">
        <v>659</v>
      </c>
      <c r="R207" s="2" t="s">
        <v>13</v>
      </c>
      <c r="S207" s="2" t="s">
        <v>633</v>
      </c>
      <c r="T207" s="5" t="s">
        <v>594</v>
      </c>
      <c r="U207" s="5" t="s">
        <v>2908</v>
      </c>
      <c r="V207" s="5"/>
      <c r="W207" s="5"/>
      <c r="X207" s="5"/>
      <c r="Y207" s="5"/>
      <c r="Z207" s="5"/>
      <c r="AA207" s="5"/>
      <c r="AB207" s="5"/>
      <c r="AC207" s="40"/>
      <c r="AD207" s="5"/>
      <c r="AE207" s="5"/>
      <c r="AF207" s="30">
        <v>44594</v>
      </c>
      <c r="AG207" s="30" t="e">
        <f>VLOOKUP(Table13[[#This Row],[SONum]],[2]Worksheet1!$B$1:$Z$59,24,0)</f>
        <v>#N/A</v>
      </c>
      <c r="AH207" s="30" t="e">
        <f>VLOOKUP(Table13[[#This Row],[SONum]],[2]Worksheet1!$B$1:$Z$59,25,0)</f>
        <v>#N/A</v>
      </c>
      <c r="AI207" s="31"/>
      <c r="AJ207" s="22">
        <f ca="1">IF(Table13[[#This Row],[RFC Remark]]="DONE",Table13[[#This Row],[RFC Date]]-Table13[[#This Row],[STIP Date]],$AJ$2-Table13[[#This Row],[STIP Date]])</f>
        <v>373</v>
      </c>
      <c r="AK207" s="5"/>
      <c r="AL207" s="5"/>
      <c r="AM207" s="745"/>
      <c r="AN207" s="5" t="s">
        <v>312</v>
      </c>
      <c r="AO207" s="5" t="s">
        <v>2075</v>
      </c>
      <c r="AP207" s="43"/>
      <c r="AQ207" s="43"/>
      <c r="AR207" s="43"/>
    </row>
    <row r="208" spans="1:44" ht="15" customHeight="1">
      <c r="A208" s="2" t="s">
        <v>2997</v>
      </c>
      <c r="B208" s="2" t="s">
        <v>2998</v>
      </c>
      <c r="C208" s="11" t="s">
        <v>2912</v>
      </c>
      <c r="D208" s="675" t="s">
        <v>2913</v>
      </c>
      <c r="E208" s="2" t="s">
        <v>2913</v>
      </c>
      <c r="F208" s="2" t="s">
        <v>10</v>
      </c>
      <c r="G208" s="5" t="s">
        <v>100</v>
      </c>
      <c r="H208" s="2" t="s">
        <v>3</v>
      </c>
      <c r="I208" s="5" t="s">
        <v>4</v>
      </c>
      <c r="J208" s="246"/>
      <c r="K208" s="2" t="s">
        <v>2999</v>
      </c>
      <c r="L208" s="28">
        <v>44461</v>
      </c>
      <c r="M208" s="2" t="s">
        <v>3000</v>
      </c>
      <c r="N208" s="2" t="s">
        <v>3001</v>
      </c>
      <c r="O208" s="2" t="s">
        <v>3081</v>
      </c>
      <c r="P208" s="2" t="s">
        <v>11</v>
      </c>
      <c r="Q208" s="2" t="s">
        <v>26</v>
      </c>
      <c r="R208" s="2" t="s">
        <v>13</v>
      </c>
      <c r="S208" s="2" t="s">
        <v>633</v>
      </c>
      <c r="T208" s="5" t="s">
        <v>2856</v>
      </c>
      <c r="U208" s="5" t="s">
        <v>2908</v>
      </c>
      <c r="V208" s="5" t="s">
        <v>1978</v>
      </c>
      <c r="W208" s="819">
        <v>-6.37791</v>
      </c>
      <c r="X208" s="819">
        <v>106.63679999999999</v>
      </c>
      <c r="Y208" s="5">
        <v>42</v>
      </c>
      <c r="Z208" s="5"/>
      <c r="AA208" s="5"/>
      <c r="AB208" s="5"/>
      <c r="AC208" s="40"/>
      <c r="AD208" s="5"/>
      <c r="AE208" s="5"/>
      <c r="AF208" s="30">
        <v>44569</v>
      </c>
      <c r="AG208" s="30" t="e">
        <f>VLOOKUP(Table13[[#This Row],[SONum]],[2]Worksheet1!$B$1:$Z$59,24,0)</f>
        <v>#N/A</v>
      </c>
      <c r="AH208" s="30" t="e">
        <f>VLOOKUP(Table13[[#This Row],[SONum]],[2]Worksheet1!$B$1:$Z$59,25,0)</f>
        <v>#N/A</v>
      </c>
      <c r="AI208" s="31"/>
      <c r="AJ208" s="22">
        <f ca="1">IF(Table13[[#This Row],[RFC Remark]]="DONE",Table13[[#This Row],[RFC Date]]-Table13[[#This Row],[STIP Date]],$AJ$2-Table13[[#This Row],[STIP Date]])</f>
        <v>373</v>
      </c>
      <c r="AK208" s="5"/>
      <c r="AL208" s="5"/>
      <c r="AM208" s="745"/>
      <c r="AN208" s="5" t="s">
        <v>312</v>
      </c>
      <c r="AO208" s="5" t="s">
        <v>2075</v>
      </c>
      <c r="AP208" s="43"/>
      <c r="AQ208" s="43"/>
      <c r="AR208" s="43"/>
    </row>
    <row r="209" spans="1:44" ht="15" customHeight="1">
      <c r="A209" s="2" t="s">
        <v>3003</v>
      </c>
      <c r="B209" s="2" t="s">
        <v>3002</v>
      </c>
      <c r="C209" s="11" t="s">
        <v>2920</v>
      </c>
      <c r="D209" s="675" t="s">
        <v>2921</v>
      </c>
      <c r="E209" s="2" t="s">
        <v>2921</v>
      </c>
      <c r="F209" s="2" t="s">
        <v>10</v>
      </c>
      <c r="G209" s="5" t="s">
        <v>100</v>
      </c>
      <c r="H209" s="2" t="s">
        <v>3</v>
      </c>
      <c r="I209" s="5" t="s">
        <v>4</v>
      </c>
      <c r="J209" s="744"/>
      <c r="K209" s="2" t="s">
        <v>3004</v>
      </c>
      <c r="L209" s="28">
        <v>44461</v>
      </c>
      <c r="M209" s="2" t="s">
        <v>3005</v>
      </c>
      <c r="N209" s="2" t="s">
        <v>3006</v>
      </c>
      <c r="O209" s="2" t="s">
        <v>3038</v>
      </c>
      <c r="P209" s="2" t="s">
        <v>11</v>
      </c>
      <c r="Q209" s="2" t="s">
        <v>19</v>
      </c>
      <c r="R209" s="2" t="s">
        <v>20</v>
      </c>
      <c r="S209" s="2" t="s">
        <v>633</v>
      </c>
      <c r="T209" s="5" t="s">
        <v>2652</v>
      </c>
      <c r="U209" s="4" t="s">
        <v>2909</v>
      </c>
      <c r="V209" s="5" t="s">
        <v>1978</v>
      </c>
      <c r="W209" s="5">
        <v>-6.3567</v>
      </c>
      <c r="X209" s="5">
        <v>106.62048</v>
      </c>
      <c r="Y209" s="5">
        <v>42</v>
      </c>
      <c r="Z209" s="5"/>
      <c r="AA209" s="5"/>
      <c r="AB209" s="5"/>
      <c r="AC209" s="40"/>
      <c r="AD209" s="5"/>
      <c r="AE209" s="5"/>
      <c r="AF209" s="31">
        <v>44481</v>
      </c>
      <c r="AG209" s="34">
        <v>44481</v>
      </c>
      <c r="AH209" s="34">
        <v>44511</v>
      </c>
      <c r="AI209" s="31">
        <v>44498</v>
      </c>
      <c r="AJ209" s="22">
        <f>IF(Table13[[#This Row],[RFC Remark]]="DONE",Table13[[#This Row],[RFC Date]]-Table13[[#This Row],[STIP Date]],$AJ$2-Table13[[#This Row],[STIP Date]])</f>
        <v>37</v>
      </c>
      <c r="AK209" s="5" t="s">
        <v>167</v>
      </c>
      <c r="AL209" s="5" t="str">
        <f>IF(Table13[[#This Row],[Aging RFC]]&lt;=85,"ONTIME","DELAY")</f>
        <v>ONTIME</v>
      </c>
      <c r="AM209" s="745"/>
      <c r="AN209" s="5" t="s">
        <v>311</v>
      </c>
      <c r="AO209" s="5" t="s">
        <v>173</v>
      </c>
      <c r="AP209" s="43"/>
      <c r="AQ209" s="43"/>
      <c r="AR209" s="43"/>
    </row>
    <row r="210" spans="1:44" ht="15" customHeight="1">
      <c r="A210" s="2" t="s">
        <v>3008</v>
      </c>
      <c r="B210" s="2" t="s">
        <v>3007</v>
      </c>
      <c r="C210" s="11" t="s">
        <v>2914</v>
      </c>
      <c r="D210" s="675" t="s">
        <v>2915</v>
      </c>
      <c r="E210" s="2" t="s">
        <v>2915</v>
      </c>
      <c r="F210" s="2" t="s">
        <v>10</v>
      </c>
      <c r="G210" s="5" t="s">
        <v>100</v>
      </c>
      <c r="H210" s="2" t="s">
        <v>3</v>
      </c>
      <c r="I210" s="5" t="s">
        <v>4</v>
      </c>
      <c r="J210" s="744"/>
      <c r="K210" s="2" t="s">
        <v>3009</v>
      </c>
      <c r="L210" s="28">
        <v>44461</v>
      </c>
      <c r="M210" s="2" t="s">
        <v>3010</v>
      </c>
      <c r="N210" s="2" t="s">
        <v>3011</v>
      </c>
      <c r="O210" s="2" t="s">
        <v>3191</v>
      </c>
      <c r="P210" s="2" t="s">
        <v>11</v>
      </c>
      <c r="Q210" s="2" t="s">
        <v>19</v>
      </c>
      <c r="R210" s="2" t="s">
        <v>20</v>
      </c>
      <c r="S210" s="2" t="s">
        <v>633</v>
      </c>
      <c r="T210" s="5" t="s">
        <v>2652</v>
      </c>
      <c r="U210" s="4" t="s">
        <v>2909</v>
      </c>
      <c r="V210" s="5" t="s">
        <v>1978</v>
      </c>
      <c r="W210" s="5">
        <v>-6.2763499999999999</v>
      </c>
      <c r="X210" s="5">
        <v>106.53189</v>
      </c>
      <c r="Y210" s="5">
        <v>42</v>
      </c>
      <c r="Z210" s="5"/>
      <c r="AA210" s="5"/>
      <c r="AB210" s="5"/>
      <c r="AC210" s="40"/>
      <c r="AD210" s="5"/>
      <c r="AE210" s="5"/>
      <c r="AF210" s="30" t="e">
        <f>VLOOKUP(Table13[[#This Row],[SONum]],[2]Worksheet1!$B$1:$Z$59,23,0)</f>
        <v>#N/A</v>
      </c>
      <c r="AG210" s="30" t="e">
        <f>VLOOKUP(Table13[[#This Row],[SONum]],[2]Worksheet1!$B$1:$Z$59,24,0)</f>
        <v>#N/A</v>
      </c>
      <c r="AH210" s="30" t="e">
        <f>VLOOKUP(Table13[[#This Row],[SONum]],[2]Worksheet1!$B$1:$Z$59,25,0)</f>
        <v>#N/A</v>
      </c>
      <c r="AI210" s="31">
        <v>44519</v>
      </c>
      <c r="AJ210" s="22">
        <f>IF(Table13[[#This Row],[RFC Remark]]="DONE",Table13[[#This Row],[RFC Date]]-Table13[[#This Row],[STIP Date]],$AJ$2-Table13[[#This Row],[STIP Date]])</f>
        <v>58</v>
      </c>
      <c r="AK210" s="5" t="s">
        <v>167</v>
      </c>
      <c r="AL210" s="5" t="str">
        <f>IF(Table13[[#This Row],[Aging RFC]]&lt;=85,"ONTIME","DELAY")</f>
        <v>ONTIME</v>
      </c>
      <c r="AM210" s="745"/>
      <c r="AN210" s="5" t="s">
        <v>2597</v>
      </c>
      <c r="AO210" s="5" t="s">
        <v>173</v>
      </c>
      <c r="AP210" s="43"/>
      <c r="AQ210" s="43"/>
      <c r="AR210" s="43"/>
    </row>
    <row r="211" spans="1:44" ht="15" customHeight="1">
      <c r="A211" s="2" t="s">
        <v>3217</v>
      </c>
      <c r="B211" s="2" t="s">
        <v>3218</v>
      </c>
      <c r="C211" s="11" t="s">
        <v>2932</v>
      </c>
      <c r="D211" s="2" t="s">
        <v>2933</v>
      </c>
      <c r="E211" s="2" t="s">
        <v>2933</v>
      </c>
      <c r="F211" s="2" t="s">
        <v>10</v>
      </c>
      <c r="G211" s="5" t="s">
        <v>100</v>
      </c>
      <c r="H211" s="2" t="s">
        <v>3</v>
      </c>
      <c r="I211" s="5" t="s">
        <v>4</v>
      </c>
      <c r="J211" s="744"/>
      <c r="K211" s="2" t="s">
        <v>3219</v>
      </c>
      <c r="L211" s="28">
        <v>44494</v>
      </c>
      <c r="M211" s="2" t="s">
        <v>3220</v>
      </c>
      <c r="N211" s="2" t="s">
        <v>3221</v>
      </c>
      <c r="O211" s="2" t="s">
        <v>3314</v>
      </c>
      <c r="P211" s="2" t="s">
        <v>11</v>
      </c>
      <c r="Q211" s="2" t="s">
        <v>638</v>
      </c>
      <c r="R211" s="2" t="s">
        <v>13</v>
      </c>
      <c r="S211" s="2" t="s">
        <v>633</v>
      </c>
      <c r="T211" s="5" t="s">
        <v>2148</v>
      </c>
      <c r="U211" s="5" t="s">
        <v>2908</v>
      </c>
      <c r="V211" s="5" t="s">
        <v>1978</v>
      </c>
      <c r="W211" s="885">
        <v>-6.4050700000000003</v>
      </c>
      <c r="X211" s="885">
        <v>107.08378</v>
      </c>
      <c r="Y211" s="885">
        <v>42</v>
      </c>
      <c r="Z211" s="5"/>
      <c r="AA211" s="5"/>
      <c r="AB211" s="5"/>
      <c r="AC211" s="40"/>
      <c r="AD211" s="5"/>
      <c r="AE211" s="5"/>
      <c r="AF211" s="30" t="e">
        <f>VLOOKUP(Table13[[#This Row],[SONum]],[2]Worksheet1!$B$1:$Z$59,23,0)</f>
        <v>#N/A</v>
      </c>
      <c r="AG211" s="30" t="e">
        <f>VLOOKUP(Table13[[#This Row],[SONum]],[2]Worksheet1!$B$1:$Z$59,24,0)</f>
        <v>#N/A</v>
      </c>
      <c r="AH211" s="30" t="e">
        <f>VLOOKUP(Table13[[#This Row],[SONum]],[2]Worksheet1!$B$1:$Z$59,25,0)</f>
        <v>#N/A</v>
      </c>
      <c r="AI211" s="31">
        <v>44557</v>
      </c>
      <c r="AJ211" s="22">
        <f>IF(Table13[[#This Row],[RFC Remark]]="DONE",Table13[[#This Row],[RFC Date]]-Table13[[#This Row],[STIP Date]],$AJ$2-Table13[[#This Row],[STIP Date]])</f>
        <v>63</v>
      </c>
      <c r="AK211" s="5" t="s">
        <v>167</v>
      </c>
      <c r="AL211" s="5"/>
      <c r="AM211" s="745"/>
      <c r="AN211" s="5" t="s">
        <v>174</v>
      </c>
      <c r="AO211" s="5" t="s">
        <v>2907</v>
      </c>
      <c r="AP211" s="43"/>
      <c r="AQ211" s="43"/>
      <c r="AR211" s="43"/>
    </row>
    <row r="212" spans="1:44" ht="15" customHeight="1">
      <c r="A212" s="2" t="s">
        <v>3233</v>
      </c>
      <c r="B212" s="2" t="s">
        <v>3232</v>
      </c>
      <c r="C212" s="11" t="s">
        <v>2936</v>
      </c>
      <c r="D212" s="675" t="s">
        <v>2937</v>
      </c>
      <c r="E212" s="2" t="s">
        <v>2937</v>
      </c>
      <c r="F212" s="2" t="s">
        <v>10</v>
      </c>
      <c r="G212" s="5" t="s">
        <v>100</v>
      </c>
      <c r="H212" s="2" t="s">
        <v>3</v>
      </c>
      <c r="I212" s="5" t="s">
        <v>4</v>
      </c>
      <c r="J212" s="744"/>
      <c r="K212" s="2" t="s">
        <v>3229</v>
      </c>
      <c r="L212" s="28">
        <v>44494</v>
      </c>
      <c r="M212" s="2" t="s">
        <v>3230</v>
      </c>
      <c r="N212" s="2" t="s">
        <v>3231</v>
      </c>
      <c r="O212" s="2" t="s">
        <v>3271</v>
      </c>
      <c r="P212" s="2" t="s">
        <v>11</v>
      </c>
      <c r="Q212" s="2" t="s">
        <v>26</v>
      </c>
      <c r="R212" s="2" t="s">
        <v>13</v>
      </c>
      <c r="S212" s="2" t="s">
        <v>633</v>
      </c>
      <c r="T212" s="5" t="s">
        <v>2856</v>
      </c>
      <c r="U212" s="5" t="s">
        <v>2908</v>
      </c>
      <c r="V212" s="5" t="s">
        <v>2162</v>
      </c>
      <c r="W212" s="5">
        <v>-6.3858699999999997</v>
      </c>
      <c r="X212" s="5">
        <v>106.61203999999999</v>
      </c>
      <c r="Y212" s="5">
        <v>42</v>
      </c>
      <c r="Z212" s="5"/>
      <c r="AA212" s="5"/>
      <c r="AB212" s="5"/>
      <c r="AC212" s="40"/>
      <c r="AD212" s="5"/>
      <c r="AE212" s="5"/>
      <c r="AF212" s="30" t="e">
        <f>VLOOKUP(Table13[[#This Row],[SONum]],[2]Worksheet1!$B$1:$Z$59,23,0)</f>
        <v>#N/A</v>
      </c>
      <c r="AG212" s="30" t="e">
        <f>VLOOKUP(Table13[[#This Row],[SONum]],[2]Worksheet1!$B$1:$Z$59,24,0)</f>
        <v>#N/A</v>
      </c>
      <c r="AH212" s="30" t="e">
        <f>VLOOKUP(Table13[[#This Row],[SONum]],[2]Worksheet1!$B$1:$Z$59,25,0)</f>
        <v>#N/A</v>
      </c>
      <c r="AI212" s="31">
        <v>44536</v>
      </c>
      <c r="AJ212" s="22">
        <f>IF(Table13[[#This Row],[RFC Remark]]="DONE",Table13[[#This Row],[RFC Date]]-Table13[[#This Row],[STIP Date]],$AJ$2-Table13[[#This Row],[STIP Date]])</f>
        <v>42</v>
      </c>
      <c r="AK212" s="5" t="s">
        <v>167</v>
      </c>
      <c r="AL212" s="5" t="str">
        <f>IF(Table13[[#This Row],[Aging RFC]]&lt;=85,"ONTIME","DELAY")</f>
        <v>ONTIME</v>
      </c>
      <c r="AM212" s="745"/>
      <c r="AN212" s="5" t="s">
        <v>174</v>
      </c>
      <c r="AO212" s="5" t="s">
        <v>2169</v>
      </c>
      <c r="AP212" s="43"/>
      <c r="AQ212" s="43"/>
      <c r="AR212" s="43" t="s">
        <v>3085</v>
      </c>
    </row>
    <row r="213" spans="1:44" ht="15" customHeight="1">
      <c r="A213" s="2" t="s">
        <v>3012</v>
      </c>
      <c r="B213" s="2" t="s">
        <v>3013</v>
      </c>
      <c r="C213" s="11" t="s">
        <v>2922</v>
      </c>
      <c r="D213" s="675" t="s">
        <v>2923</v>
      </c>
      <c r="E213" s="2" t="s">
        <v>2923</v>
      </c>
      <c r="F213" s="2" t="s">
        <v>10</v>
      </c>
      <c r="G213" s="5" t="s">
        <v>100</v>
      </c>
      <c r="H213" s="2" t="s">
        <v>3</v>
      </c>
      <c r="I213" s="5" t="s">
        <v>4</v>
      </c>
      <c r="J213" s="246"/>
      <c r="K213" s="2" t="s">
        <v>3014</v>
      </c>
      <c r="L213" s="28">
        <v>44461</v>
      </c>
      <c r="M213" s="2" t="s">
        <v>3015</v>
      </c>
      <c r="N213" s="2" t="s">
        <v>3016</v>
      </c>
      <c r="O213" s="2" t="s">
        <v>2546</v>
      </c>
      <c r="P213" s="2" t="s">
        <v>11</v>
      </c>
      <c r="Q213" s="2" t="s">
        <v>26</v>
      </c>
      <c r="R213" s="2" t="s">
        <v>13</v>
      </c>
      <c r="S213" s="2" t="s">
        <v>633</v>
      </c>
      <c r="T213" s="5" t="s">
        <v>2856</v>
      </c>
      <c r="U213" s="5" t="s">
        <v>2908</v>
      </c>
      <c r="V213" s="5"/>
      <c r="W213" s="5"/>
      <c r="X213" s="5"/>
      <c r="Y213" s="5"/>
      <c r="Z213" s="5"/>
      <c r="AA213" s="5"/>
      <c r="AB213" s="5"/>
      <c r="AC213" s="40"/>
      <c r="AD213" s="5"/>
      <c r="AE213" s="5"/>
      <c r="AF213" s="30">
        <v>44594</v>
      </c>
      <c r="AG213" s="30" t="e">
        <f>VLOOKUP(Table13[[#This Row],[SONum]],[2]Worksheet1!$B$1:$Z$59,24,0)</f>
        <v>#N/A</v>
      </c>
      <c r="AH213" s="30" t="e">
        <f>VLOOKUP(Table13[[#This Row],[SONum]],[2]Worksheet1!$B$1:$Z$59,25,0)</f>
        <v>#N/A</v>
      </c>
      <c r="AI213" s="31"/>
      <c r="AJ213" s="22">
        <f ca="1">IF(Table13[[#This Row],[RFC Remark]]="DONE",Table13[[#This Row],[RFC Date]]-Table13[[#This Row],[STIP Date]],$AJ$2-Table13[[#This Row],[STIP Date]])</f>
        <v>373</v>
      </c>
      <c r="AK213" s="5"/>
      <c r="AL213" s="5"/>
      <c r="AM213" s="745"/>
      <c r="AN213" s="5" t="s">
        <v>312</v>
      </c>
      <c r="AO213" s="5" t="s">
        <v>2075</v>
      </c>
      <c r="AP213" s="43"/>
      <c r="AQ213" s="43"/>
      <c r="AR213" s="43" t="s">
        <v>3085</v>
      </c>
    </row>
    <row r="214" spans="1:44" ht="15" customHeight="1">
      <c r="A214" s="591" t="s">
        <v>3395</v>
      </c>
      <c r="B214" s="591" t="s">
        <v>3396</v>
      </c>
      <c r="C214" s="11" t="s">
        <v>2926</v>
      </c>
      <c r="D214" s="675" t="s">
        <v>2927</v>
      </c>
      <c r="E214" s="675" t="s">
        <v>2927</v>
      </c>
      <c r="F214" s="5" t="s">
        <v>10</v>
      </c>
      <c r="G214" s="5" t="s">
        <v>100</v>
      </c>
      <c r="H214" s="2" t="s">
        <v>3</v>
      </c>
      <c r="I214" s="5" t="s">
        <v>4</v>
      </c>
      <c r="J214" s="246"/>
      <c r="K214" s="5" t="s">
        <v>3403</v>
      </c>
      <c r="L214" s="7">
        <v>44523</v>
      </c>
      <c r="M214" s="819">
        <v>-6.2515099999999997</v>
      </c>
      <c r="N214" s="819">
        <v>107.24269</v>
      </c>
      <c r="O214" s="5" t="s">
        <v>3404</v>
      </c>
      <c r="P214" s="7" t="s">
        <v>11</v>
      </c>
      <c r="Q214" s="7" t="s">
        <v>638</v>
      </c>
      <c r="R214" s="7" t="s">
        <v>13</v>
      </c>
      <c r="S214" s="61">
        <v>42</v>
      </c>
      <c r="T214" s="5" t="s">
        <v>177</v>
      </c>
      <c r="U214" s="5" t="s">
        <v>2908</v>
      </c>
      <c r="V214" s="5" t="s">
        <v>2295</v>
      </c>
      <c r="W214" s="858">
        <v>-6.2515400000000003</v>
      </c>
      <c r="X214" s="858">
        <v>107.24274</v>
      </c>
      <c r="Y214" s="5">
        <v>42</v>
      </c>
      <c r="Z214" s="5"/>
      <c r="AA214" s="5"/>
      <c r="AB214" s="5"/>
      <c r="AC214" s="40"/>
      <c r="AD214" s="5"/>
      <c r="AE214" s="5"/>
      <c r="AF214" s="30">
        <v>44576</v>
      </c>
      <c r="AG214" s="30" t="e">
        <f>VLOOKUP(Table13[[#This Row],[SONum]],[2]Worksheet1!$B$1:$Z$59,24,0)</f>
        <v>#N/A</v>
      </c>
      <c r="AH214" s="30" t="e">
        <f>VLOOKUP(Table13[[#This Row],[SONum]],[2]Worksheet1!$B$1:$Z$59,25,0)</f>
        <v>#N/A</v>
      </c>
      <c r="AI214" s="31"/>
      <c r="AJ214" s="22">
        <f ca="1">IF(Table13[[#This Row],[RFC Remark]]="DONE",Table13[[#This Row],[RFC Date]]-Table13[[#This Row],[STIP Date]],$AJ$2-Table13[[#This Row],[STIP Date]])</f>
        <v>311</v>
      </c>
      <c r="AK214" s="5"/>
      <c r="AL214" s="5"/>
      <c r="AM214" s="745"/>
      <c r="AN214" s="5" t="s">
        <v>174</v>
      </c>
      <c r="AO214" s="5" t="s">
        <v>1109</v>
      </c>
      <c r="AP214" s="43"/>
      <c r="AQ214" s="43"/>
      <c r="AR214" s="43" t="s">
        <v>3085</v>
      </c>
    </row>
    <row r="215" spans="1:44" ht="15" customHeight="1">
      <c r="A215" s="141" t="s">
        <v>3017</v>
      </c>
      <c r="B215" s="141" t="s">
        <v>3018</v>
      </c>
      <c r="C215" s="937" t="s">
        <v>2918</v>
      </c>
      <c r="D215" s="938" t="s">
        <v>2919</v>
      </c>
      <c r="E215" s="141" t="s">
        <v>2919</v>
      </c>
      <c r="F215" s="141" t="s">
        <v>10</v>
      </c>
      <c r="G215" s="621" t="s">
        <v>100</v>
      </c>
      <c r="H215" s="141" t="s">
        <v>3</v>
      </c>
      <c r="I215" s="621" t="s">
        <v>4</v>
      </c>
      <c r="J215" s="246"/>
      <c r="K215" s="141" t="s">
        <v>3019</v>
      </c>
      <c r="L215" s="762">
        <v>44461</v>
      </c>
      <c r="M215" s="141" t="s">
        <v>3020</v>
      </c>
      <c r="N215" s="141" t="s">
        <v>3021</v>
      </c>
      <c r="O215" s="141" t="s">
        <v>3078</v>
      </c>
      <c r="P215" s="141" t="s">
        <v>11</v>
      </c>
      <c r="Q215" s="141" t="s">
        <v>638</v>
      </c>
      <c r="R215" s="141" t="s">
        <v>13</v>
      </c>
      <c r="S215" s="141" t="s">
        <v>633</v>
      </c>
      <c r="T215" s="621" t="s">
        <v>2148</v>
      </c>
      <c r="U215" s="621" t="s">
        <v>2908</v>
      </c>
      <c r="V215" s="621" t="s">
        <v>1978</v>
      </c>
      <c r="W215" s="637">
        <v>-6.3925700000000001</v>
      </c>
      <c r="X215" s="939">
        <v>107.15038</v>
      </c>
      <c r="Y215" s="621">
        <v>42</v>
      </c>
      <c r="Z215" s="621"/>
      <c r="AA215" s="621"/>
      <c r="AB215" s="621"/>
      <c r="AC215" s="625"/>
      <c r="AD215" s="621"/>
      <c r="AE215" s="621"/>
      <c r="AF215" s="626">
        <v>44481</v>
      </c>
      <c r="AG215" s="627">
        <v>44481</v>
      </c>
      <c r="AH215" s="627">
        <v>44511</v>
      </c>
      <c r="AI215" s="626">
        <v>44498</v>
      </c>
      <c r="AJ215" s="698">
        <f>IF(Table13[[#This Row],[RFC Remark]]="DONE",Table13[[#This Row],[RFC Date]]-Table13[[#This Row],[STIP Date]],$AJ$2-Table13[[#This Row],[STIP Date]])</f>
        <v>37</v>
      </c>
      <c r="AK215" s="621" t="s">
        <v>167</v>
      </c>
      <c r="AL215" s="621" t="str">
        <f>IF(Table13[[#This Row],[Aging RFC]]&lt;=85,"ONTIME","DELAY")</f>
        <v>ONTIME</v>
      </c>
      <c r="AM215" s="745"/>
      <c r="AN215" s="621" t="s">
        <v>311</v>
      </c>
      <c r="AO215" s="621" t="s">
        <v>173</v>
      </c>
      <c r="AP215" s="629"/>
      <c r="AQ215" s="629"/>
      <c r="AR215" s="629"/>
    </row>
    <row r="216" spans="1:44" ht="15" customHeight="1">
      <c r="A216" s="591" t="s">
        <v>3354</v>
      </c>
      <c r="B216" s="591" t="s">
        <v>3355</v>
      </c>
      <c r="C216" s="11" t="s">
        <v>2928</v>
      </c>
      <c r="D216" s="675" t="s">
        <v>2929</v>
      </c>
      <c r="E216" s="675" t="s">
        <v>2929</v>
      </c>
      <c r="F216" s="5" t="s">
        <v>10</v>
      </c>
      <c r="G216" s="5" t="s">
        <v>100</v>
      </c>
      <c r="H216" s="2" t="s">
        <v>3</v>
      </c>
      <c r="I216" s="5" t="s">
        <v>4</v>
      </c>
      <c r="J216" s="744"/>
      <c r="K216" s="5" t="s">
        <v>3356</v>
      </c>
      <c r="L216" s="7">
        <v>44523</v>
      </c>
      <c r="M216" s="819">
        <v>-6.39968</v>
      </c>
      <c r="N216" s="819">
        <v>107.21253</v>
      </c>
      <c r="O216" s="5" t="s">
        <v>3302</v>
      </c>
      <c r="P216" s="7" t="s">
        <v>11</v>
      </c>
      <c r="Q216" s="7" t="s">
        <v>638</v>
      </c>
      <c r="R216" s="7" t="s">
        <v>13</v>
      </c>
      <c r="S216" s="61">
        <v>42</v>
      </c>
      <c r="T216" s="5" t="s">
        <v>2148</v>
      </c>
      <c r="U216" s="5" t="s">
        <v>2908</v>
      </c>
      <c r="V216" s="5" t="s">
        <v>1978</v>
      </c>
      <c r="W216" s="235">
        <v>-6.3997599999999997</v>
      </c>
      <c r="X216" s="819">
        <v>107.21254999999999</v>
      </c>
      <c r="Y216" s="5">
        <v>42</v>
      </c>
      <c r="Z216" s="5"/>
      <c r="AA216" s="5"/>
      <c r="AB216" s="5"/>
      <c r="AC216" s="40"/>
      <c r="AD216" s="5"/>
      <c r="AE216" s="5"/>
      <c r="AF216" s="30" t="e">
        <f>VLOOKUP(Table13[[#This Row],[SONum]],[2]Worksheet1!$B$1:$Z$59,23,0)</f>
        <v>#N/A</v>
      </c>
      <c r="AG216" s="30" t="e">
        <f>VLOOKUP(Table13[[#This Row],[SONum]],[2]Worksheet1!$B$1:$Z$59,24,0)</f>
        <v>#N/A</v>
      </c>
      <c r="AH216" s="30" t="e">
        <f>VLOOKUP(Table13[[#This Row],[SONum]],[2]Worksheet1!$B$1:$Z$59,25,0)</f>
        <v>#N/A</v>
      </c>
      <c r="AI216" s="31">
        <v>44554</v>
      </c>
      <c r="AJ216" s="22">
        <f>IF(Table13[[#This Row],[RFC Remark]]="DONE",Table13[[#This Row],[RFC Date]]-Table13[[#This Row],[STIP Date]],$AJ$2-Table13[[#This Row],[STIP Date]])</f>
        <v>31</v>
      </c>
      <c r="AK216" s="5" t="s">
        <v>167</v>
      </c>
      <c r="AL216" s="5"/>
      <c r="AM216" s="745"/>
      <c r="AN216" s="5" t="s">
        <v>174</v>
      </c>
      <c r="AO216" s="5" t="s">
        <v>2907</v>
      </c>
      <c r="AP216" s="43"/>
      <c r="AQ216" s="43"/>
      <c r="AR216" s="43" t="s">
        <v>3085</v>
      </c>
    </row>
    <row r="217" spans="1:44" ht="15" customHeight="1">
      <c r="A217" s="2" t="s">
        <v>2982</v>
      </c>
      <c r="B217" s="2" t="s">
        <v>2983</v>
      </c>
      <c r="C217" s="2" t="s">
        <v>2910</v>
      </c>
      <c r="D217" s="2" t="s">
        <v>2911</v>
      </c>
      <c r="E217" s="2" t="s">
        <v>2911</v>
      </c>
      <c r="F217" s="2" t="s">
        <v>10</v>
      </c>
      <c r="G217" s="5" t="s">
        <v>100</v>
      </c>
      <c r="H217" s="2" t="s">
        <v>3</v>
      </c>
      <c r="I217" s="5" t="s">
        <v>4</v>
      </c>
      <c r="J217" s="744"/>
      <c r="K217" s="2" t="s">
        <v>2984</v>
      </c>
      <c r="L217" s="28">
        <v>44461</v>
      </c>
      <c r="M217" s="2" t="s">
        <v>2985</v>
      </c>
      <c r="N217" s="2" t="s">
        <v>2986</v>
      </c>
      <c r="O217" s="2" t="s">
        <v>3263</v>
      </c>
      <c r="P217" s="2" t="s">
        <v>11</v>
      </c>
      <c r="Q217" s="2" t="s">
        <v>638</v>
      </c>
      <c r="R217" s="2" t="s">
        <v>13</v>
      </c>
      <c r="S217" s="2" t="s">
        <v>633</v>
      </c>
      <c r="T217" s="5" t="s">
        <v>594</v>
      </c>
      <c r="U217" s="5" t="s">
        <v>2908</v>
      </c>
      <c r="V217" s="5" t="s">
        <v>2162</v>
      </c>
      <c r="W217" s="858">
        <v>-6.2304899999999996</v>
      </c>
      <c r="X217" s="858">
        <v>107.26519999999999</v>
      </c>
      <c r="Y217" s="805">
        <v>42</v>
      </c>
      <c r="Z217" s="5"/>
      <c r="AA217" s="5"/>
      <c r="AB217" s="5"/>
      <c r="AC217" s="40"/>
      <c r="AD217" s="5"/>
      <c r="AE217" s="5"/>
      <c r="AF217" s="30" t="e">
        <f>VLOOKUP(Table13[[#This Row],[SONum]],[2]Worksheet1!$B$1:$Z$59,23,0)</f>
        <v>#N/A</v>
      </c>
      <c r="AG217" s="30" t="e">
        <f>VLOOKUP(Table13[[#This Row],[SONum]],[2]Worksheet1!$B$1:$Z$59,24,0)</f>
        <v>#N/A</v>
      </c>
      <c r="AH217" s="30" t="e">
        <f>VLOOKUP(Table13[[#This Row],[SONum]],[2]Worksheet1!$B$1:$Z$59,25,0)</f>
        <v>#N/A</v>
      </c>
      <c r="AI217" s="31">
        <v>44536</v>
      </c>
      <c r="AJ217" s="22">
        <f>IF(Table13[[#This Row],[RFC Remark]]="DONE",Table13[[#This Row],[RFC Date]]-Table13[[#This Row],[STIP Date]],$AJ$2-Table13[[#This Row],[STIP Date]])</f>
        <v>75</v>
      </c>
      <c r="AK217" s="5" t="s">
        <v>167</v>
      </c>
      <c r="AL217" s="5" t="str">
        <f>IF(Table13[[#This Row],[Aging RFC]]&lt;=85,"ONTIME","DELAY")</f>
        <v>ONTIME</v>
      </c>
      <c r="AM217" s="745"/>
      <c r="AN217" s="5" t="s">
        <v>174</v>
      </c>
      <c r="AO217" s="5" t="s">
        <v>2169</v>
      </c>
      <c r="AP217" s="43"/>
      <c r="AQ217" s="43"/>
      <c r="AR217" s="43" t="s">
        <v>3085</v>
      </c>
    </row>
    <row r="218" spans="1:44" ht="15" customHeight="1">
      <c r="A218" s="591" t="s">
        <v>2888</v>
      </c>
      <c r="B218" s="591" t="s">
        <v>2889</v>
      </c>
      <c r="C218" s="19" t="s">
        <v>2891</v>
      </c>
      <c r="D218" s="19" t="s">
        <v>2890</v>
      </c>
      <c r="E218" s="19" t="s">
        <v>2890</v>
      </c>
      <c r="F218" s="2" t="s">
        <v>10</v>
      </c>
      <c r="G218" s="2" t="s">
        <v>100</v>
      </c>
      <c r="H218" s="5" t="s">
        <v>16</v>
      </c>
      <c r="I218" s="5" t="s">
        <v>4</v>
      </c>
      <c r="J218" s="246"/>
      <c r="K218" s="2" t="s">
        <v>3222</v>
      </c>
      <c r="L218" s="28">
        <v>44447</v>
      </c>
      <c r="M218" s="904" t="s">
        <v>2892</v>
      </c>
      <c r="N218" s="904" t="s">
        <v>3343</v>
      </c>
      <c r="O218" s="5"/>
      <c r="P218" s="2" t="s">
        <v>11</v>
      </c>
      <c r="Q218" s="7" t="s">
        <v>53</v>
      </c>
      <c r="R218" s="7" t="s">
        <v>13</v>
      </c>
      <c r="S218" s="61">
        <v>32</v>
      </c>
      <c r="T218" s="5" t="s">
        <v>2652</v>
      </c>
      <c r="U218" s="5" t="s">
        <v>2908</v>
      </c>
      <c r="V218" s="5"/>
      <c r="W218" s="5"/>
      <c r="X218" s="5"/>
      <c r="Y218" s="5"/>
      <c r="Z218" s="5"/>
      <c r="AA218" s="5"/>
      <c r="AB218" s="5"/>
      <c r="AC218" s="40"/>
      <c r="AD218" s="5"/>
      <c r="AE218" s="5"/>
      <c r="AF218" s="30">
        <v>44599</v>
      </c>
      <c r="AG218" s="30" t="e">
        <f>VLOOKUP(Table13[[#This Row],[SONum]],[2]Worksheet1!$B$1:$Z$59,24,0)</f>
        <v>#N/A</v>
      </c>
      <c r="AH218" s="30" t="e">
        <f>VLOOKUP(Table13[[#This Row],[SONum]],[2]Worksheet1!$B$1:$Z$59,25,0)</f>
        <v>#N/A</v>
      </c>
      <c r="AI218" s="31"/>
      <c r="AJ218" s="22">
        <f ca="1">IF(Table13[[#This Row],[RFC Remark]]="DONE",Table13[[#This Row],[RFC Date]]-Table13[[#This Row],[STIP Date]],$AJ$2-Table13[[#This Row],[STIP Date]])</f>
        <v>387</v>
      </c>
      <c r="AK218" s="5"/>
      <c r="AL218" s="5"/>
      <c r="AM218" s="745"/>
      <c r="AN218" s="5" t="s">
        <v>174</v>
      </c>
      <c r="AO218" s="5" t="s">
        <v>2076</v>
      </c>
      <c r="AP218" s="43"/>
      <c r="AQ218" s="43"/>
      <c r="AR218" s="43"/>
    </row>
    <row r="219" spans="1:44" ht="15" customHeight="1">
      <c r="A219" s="23" t="s">
        <v>3042</v>
      </c>
      <c r="B219" s="23" t="s">
        <v>3043</v>
      </c>
      <c r="C219" s="783" t="s">
        <v>2863</v>
      </c>
      <c r="D219" s="783" t="s">
        <v>2862</v>
      </c>
      <c r="E219" s="2" t="s">
        <v>2862</v>
      </c>
      <c r="F219" s="2" t="s">
        <v>10</v>
      </c>
      <c r="G219" s="5" t="s">
        <v>100</v>
      </c>
      <c r="H219" s="2" t="s">
        <v>3</v>
      </c>
      <c r="I219" s="5" t="s">
        <v>4</v>
      </c>
      <c r="J219" s="744"/>
      <c r="K219" s="2" t="s">
        <v>3226</v>
      </c>
      <c r="L219" s="28">
        <v>44460</v>
      </c>
      <c r="M219" s="2" t="s">
        <v>3227</v>
      </c>
      <c r="N219" s="2" t="s">
        <v>3228</v>
      </c>
      <c r="O219" s="2" t="s">
        <v>3264</v>
      </c>
      <c r="P219" s="2" t="s">
        <v>11</v>
      </c>
      <c r="Q219" s="2" t="s">
        <v>638</v>
      </c>
      <c r="R219" s="2" t="s">
        <v>13</v>
      </c>
      <c r="S219" s="2" t="s">
        <v>2771</v>
      </c>
      <c r="T219" s="5" t="s">
        <v>2941</v>
      </c>
      <c r="U219" s="5" t="s">
        <v>2908</v>
      </c>
      <c r="V219" s="5" t="s">
        <v>2162</v>
      </c>
      <c r="W219" s="807">
        <v>-6.2487000000000004</v>
      </c>
      <c r="X219" s="807">
        <v>107.12621</v>
      </c>
      <c r="Y219" s="807">
        <v>52</v>
      </c>
      <c r="Z219" s="5"/>
      <c r="AA219" s="5"/>
      <c r="AB219" s="5"/>
      <c r="AC219" s="40"/>
      <c r="AD219" s="5"/>
      <c r="AE219" s="5"/>
      <c r="AF219" s="30">
        <v>44577</v>
      </c>
      <c r="AG219" s="30" t="e">
        <f>VLOOKUP(Table13[[#This Row],[SONum]],[2]Worksheet1!$B$1:$Z$59,24,0)</f>
        <v>#N/A</v>
      </c>
      <c r="AH219" s="30" t="e">
        <f>VLOOKUP(Table13[[#This Row],[SONum]],[2]Worksheet1!$B$1:$Z$59,25,0)</f>
        <v>#N/A</v>
      </c>
      <c r="AI219" s="31"/>
      <c r="AJ219" s="22">
        <f ca="1">IF(Table13[[#This Row],[RFC Remark]]="DONE",Table13[[#This Row],[RFC Date]]-Table13[[#This Row],[STIP Date]],$AJ$2-Table13[[#This Row],[STIP Date]])</f>
        <v>374</v>
      </c>
      <c r="AK219" s="5"/>
      <c r="AL219" s="5"/>
      <c r="AM219" s="745"/>
      <c r="AN219" s="5" t="s">
        <v>174</v>
      </c>
      <c r="AO219" s="5" t="s">
        <v>2169</v>
      </c>
      <c r="AP219" s="43"/>
      <c r="AQ219" s="43"/>
      <c r="AR219" s="43" t="s">
        <v>3085</v>
      </c>
    </row>
    <row r="220" spans="1:44" ht="15" customHeight="1">
      <c r="A220" s="2" t="s">
        <v>3201</v>
      </c>
      <c r="B220" s="2" t="s">
        <v>3202</v>
      </c>
      <c r="C220" s="2" t="s">
        <v>2864</v>
      </c>
      <c r="D220" s="2" t="s">
        <v>2865</v>
      </c>
      <c r="E220" s="2" t="s">
        <v>2865</v>
      </c>
      <c r="F220" s="2" t="s">
        <v>10</v>
      </c>
      <c r="G220" s="2" t="s">
        <v>100</v>
      </c>
      <c r="H220" s="2" t="s">
        <v>3</v>
      </c>
      <c r="I220" s="2" t="s">
        <v>4</v>
      </c>
      <c r="J220" s="744"/>
      <c r="K220" s="2" t="s">
        <v>3203</v>
      </c>
      <c r="L220" s="28">
        <v>44494</v>
      </c>
      <c r="M220" s="2" t="s">
        <v>3204</v>
      </c>
      <c r="N220" s="2" t="s">
        <v>3205</v>
      </c>
      <c r="O220" s="5"/>
      <c r="P220" s="2" t="s">
        <v>11</v>
      </c>
      <c r="Q220" s="2" t="s">
        <v>638</v>
      </c>
      <c r="R220" s="2" t="s">
        <v>13</v>
      </c>
      <c r="S220" s="2" t="s">
        <v>633</v>
      </c>
      <c r="T220" s="5" t="s">
        <v>2941</v>
      </c>
      <c r="U220" s="5" t="s">
        <v>2908</v>
      </c>
      <c r="V220" s="5"/>
      <c r="W220" s="5"/>
      <c r="X220" s="5"/>
      <c r="Y220" s="5"/>
      <c r="Z220" s="5"/>
      <c r="AA220" s="5"/>
      <c r="AB220" s="5"/>
      <c r="AC220" s="40"/>
      <c r="AD220" s="5"/>
      <c r="AE220" s="5"/>
      <c r="AF220" s="30">
        <v>44600</v>
      </c>
      <c r="AG220" s="30" t="e">
        <f>VLOOKUP(Table13[[#This Row],[SONum]],[2]Worksheet1!$B$1:$Z$59,24,0)</f>
        <v>#N/A</v>
      </c>
      <c r="AH220" s="30" t="e">
        <f>VLOOKUP(Table13[[#This Row],[SONum]],[2]Worksheet1!$B$1:$Z$59,25,0)</f>
        <v>#N/A</v>
      </c>
      <c r="AI220" s="31"/>
      <c r="AJ220" s="22">
        <f ca="1">IF(Table13[[#This Row],[RFC Remark]]="DONE",Table13[[#This Row],[RFC Date]]-Table13[[#This Row],[STIP Date]],$AJ$2-Table13[[#This Row],[STIP Date]])</f>
        <v>340</v>
      </c>
      <c r="AK220" s="5"/>
      <c r="AL220" s="5"/>
      <c r="AM220" s="745"/>
      <c r="AN220" s="5" t="s">
        <v>174</v>
      </c>
      <c r="AO220" s="5" t="s">
        <v>2076</v>
      </c>
      <c r="AP220" s="43"/>
      <c r="AQ220" s="43" t="s">
        <v>3063</v>
      </c>
      <c r="AR220" s="43" t="s">
        <v>3085</v>
      </c>
    </row>
    <row r="221" spans="1:44" ht="15" customHeight="1">
      <c r="A221" s="5" t="s">
        <v>3022</v>
      </c>
      <c r="B221" s="2" t="s">
        <v>3024</v>
      </c>
      <c r="C221" s="2" t="s">
        <v>3025</v>
      </c>
      <c r="D221" s="2" t="s">
        <v>3026</v>
      </c>
      <c r="E221" s="2" t="s">
        <v>3030</v>
      </c>
      <c r="F221" s="2" t="s">
        <v>10</v>
      </c>
      <c r="G221" s="2" t="s">
        <v>100</v>
      </c>
      <c r="H221" s="5" t="s">
        <v>54</v>
      </c>
      <c r="I221" s="5" t="s">
        <v>4</v>
      </c>
      <c r="J221" s="744"/>
      <c r="K221" s="2" t="s">
        <v>3031</v>
      </c>
      <c r="L221" s="28">
        <v>44459</v>
      </c>
      <c r="M221" s="2" t="s">
        <v>3033</v>
      </c>
      <c r="N221" s="2" t="s">
        <v>3034</v>
      </c>
      <c r="O221" s="2" t="s">
        <v>3323</v>
      </c>
      <c r="P221" s="2" t="s">
        <v>11</v>
      </c>
      <c r="Q221" s="2" t="s">
        <v>26</v>
      </c>
      <c r="R221" s="2" t="s">
        <v>13</v>
      </c>
      <c r="S221" s="2" t="s">
        <v>2771</v>
      </c>
      <c r="T221" s="5" t="s">
        <v>2091</v>
      </c>
      <c r="U221" s="5" t="s">
        <v>2908</v>
      </c>
      <c r="V221" s="5" t="s">
        <v>179</v>
      </c>
      <c r="W221" s="5">
        <v>-6.6087999999999996</v>
      </c>
      <c r="X221" s="5">
        <v>106.66561</v>
      </c>
      <c r="Y221" s="5">
        <v>52</v>
      </c>
      <c r="Z221" s="5"/>
      <c r="AA221" s="5"/>
      <c r="AB221" s="5"/>
      <c r="AC221" s="40"/>
      <c r="AD221" s="5"/>
      <c r="AE221" s="5"/>
      <c r="AF221" s="30" t="e">
        <f>VLOOKUP(Table13[[#This Row],[SONum]],[2]Worksheet1!$B$1:$Z$59,23,0)</f>
        <v>#N/A</v>
      </c>
      <c r="AG221" s="30" t="e">
        <f>VLOOKUP(Table13[[#This Row],[SONum]],[2]Worksheet1!$B$1:$Z$59,24,0)</f>
        <v>#N/A</v>
      </c>
      <c r="AH221" s="30" t="e">
        <f>VLOOKUP(Table13[[#This Row],[SONum]],[2]Worksheet1!$B$1:$Z$59,25,0)</f>
        <v>#N/A</v>
      </c>
      <c r="AI221" s="31">
        <v>44539</v>
      </c>
      <c r="AJ221" s="22">
        <f>IF(Table13[[#This Row],[RFC Remark]]="DONE",Table13[[#This Row],[RFC Date]]-Table13[[#This Row],[STIP Date]],$AJ$2-Table13[[#This Row],[STIP Date]])</f>
        <v>80</v>
      </c>
      <c r="AK221" s="5" t="s">
        <v>167</v>
      </c>
      <c r="AL221" s="5" t="str">
        <f>IF(Table13[[#This Row],[Aging RFC]]&lt;=85,"ONTIME","DELAY")</f>
        <v>ONTIME</v>
      </c>
      <c r="AM221" s="745"/>
      <c r="AN221" s="5" t="s">
        <v>174</v>
      </c>
      <c r="AO221" s="5" t="s">
        <v>1109</v>
      </c>
      <c r="AP221" s="43"/>
      <c r="AQ221" s="43" t="s">
        <v>3180</v>
      </c>
      <c r="AR221" s="43"/>
    </row>
    <row r="222" spans="1:44" ht="15" customHeight="1">
      <c r="A222" s="5" t="s">
        <v>3023</v>
      </c>
      <c r="B222" s="2" t="s">
        <v>3027</v>
      </c>
      <c r="C222" s="2" t="s">
        <v>3028</v>
      </c>
      <c r="D222" s="400" t="s">
        <v>3029</v>
      </c>
      <c r="E222" s="2" t="s">
        <v>3029</v>
      </c>
      <c r="F222" s="2" t="s">
        <v>10</v>
      </c>
      <c r="G222" s="2" t="s">
        <v>100</v>
      </c>
      <c r="H222" s="5" t="s">
        <v>54</v>
      </c>
      <c r="I222" s="5" t="s">
        <v>4</v>
      </c>
      <c r="J222" s="744"/>
      <c r="K222" s="2" t="s">
        <v>3032</v>
      </c>
      <c r="L222" s="28">
        <v>44459</v>
      </c>
      <c r="M222" s="2" t="s">
        <v>3035</v>
      </c>
      <c r="N222" s="2" t="s">
        <v>3036</v>
      </c>
      <c r="O222" s="2" t="s">
        <v>3441</v>
      </c>
      <c r="P222" s="2" t="s">
        <v>11</v>
      </c>
      <c r="Q222" s="2" t="s">
        <v>19</v>
      </c>
      <c r="R222" s="2" t="s">
        <v>20</v>
      </c>
      <c r="S222" s="2" t="s">
        <v>633</v>
      </c>
      <c r="T222" s="5" t="s">
        <v>168</v>
      </c>
      <c r="U222" s="4" t="s">
        <v>2909</v>
      </c>
      <c r="V222" s="5" t="s">
        <v>323</v>
      </c>
      <c r="W222" s="5">
        <v>-6.3052900000000003</v>
      </c>
      <c r="X222" s="5">
        <v>106.58112</v>
      </c>
      <c r="Y222" s="5">
        <v>32</v>
      </c>
      <c r="Z222" s="5"/>
      <c r="AA222" s="5"/>
      <c r="AB222" s="5"/>
      <c r="AC222" s="40"/>
      <c r="AD222" s="5"/>
      <c r="AE222" s="5"/>
      <c r="AF222" s="30">
        <v>44575</v>
      </c>
      <c r="AG222" s="30" t="e">
        <f>VLOOKUP(Table13[[#This Row],[SONum]],[2]Worksheet1!$B$1:$Z$59,24,0)</f>
        <v>#N/A</v>
      </c>
      <c r="AH222" s="30" t="e">
        <f>VLOOKUP(Table13[[#This Row],[SONum]],[2]Worksheet1!$B$1:$Z$59,25,0)</f>
        <v>#N/A</v>
      </c>
      <c r="AI222" s="31"/>
      <c r="AJ222" s="22">
        <f ca="1">IF(Table13[[#This Row],[RFC Remark]]="DONE",Table13[[#This Row],[RFC Date]]-Table13[[#This Row],[STIP Date]],$AJ$2-Table13[[#This Row],[STIP Date]])</f>
        <v>375</v>
      </c>
      <c r="AK222" s="5"/>
      <c r="AL222" s="5"/>
      <c r="AM222" s="745"/>
      <c r="AN222" s="5" t="s">
        <v>174</v>
      </c>
      <c r="AO222" s="5" t="s">
        <v>1109</v>
      </c>
      <c r="AP222" s="43"/>
      <c r="AQ222" s="43" t="s">
        <v>3175</v>
      </c>
      <c r="AR222" s="43" t="s">
        <v>3176</v>
      </c>
    </row>
    <row r="223" spans="1:44" ht="15" customHeight="1">
      <c r="A223" s="5" t="s">
        <v>3064</v>
      </c>
      <c r="B223" s="2" t="s">
        <v>3065</v>
      </c>
      <c r="C223" s="2" t="s">
        <v>3066</v>
      </c>
      <c r="D223" s="2" t="s">
        <v>3067</v>
      </c>
      <c r="E223" s="2" t="s">
        <v>3067</v>
      </c>
      <c r="F223" s="2" t="s">
        <v>10</v>
      </c>
      <c r="G223" s="2" t="s">
        <v>100</v>
      </c>
      <c r="H223" s="5" t="s">
        <v>54</v>
      </c>
      <c r="I223" s="5" t="s">
        <v>4</v>
      </c>
      <c r="J223" s="744"/>
      <c r="K223" s="2" t="s">
        <v>3068</v>
      </c>
      <c r="L223" s="28">
        <v>44459</v>
      </c>
      <c r="M223" s="2" t="s">
        <v>3069</v>
      </c>
      <c r="N223" s="2" t="s">
        <v>3070</v>
      </c>
      <c r="O223" s="5" t="s">
        <v>3306</v>
      </c>
      <c r="P223" s="2" t="s">
        <v>11</v>
      </c>
      <c r="Q223" s="2" t="s">
        <v>26</v>
      </c>
      <c r="R223" s="2" t="s">
        <v>13</v>
      </c>
      <c r="S223" s="2" t="s">
        <v>633</v>
      </c>
      <c r="T223" s="5" t="s">
        <v>3177</v>
      </c>
      <c r="U223" s="5" t="s">
        <v>2908</v>
      </c>
      <c r="V223" s="5" t="s">
        <v>316</v>
      </c>
      <c r="W223" s="5">
        <v>-6.5183299999999997</v>
      </c>
      <c r="X223" s="5">
        <v>106.84592000000001</v>
      </c>
      <c r="Y223" s="5">
        <v>42</v>
      </c>
      <c r="Z223" s="5"/>
      <c r="AA223" s="5"/>
      <c r="AB223" s="5"/>
      <c r="AC223" s="40"/>
      <c r="AD223" s="5"/>
      <c r="AE223" s="5"/>
      <c r="AF223" s="30" t="e">
        <f>VLOOKUP(Table13[[#This Row],[SONum]],[2]Worksheet1!$B$1:$Z$59,23,0)</f>
        <v>#N/A</v>
      </c>
      <c r="AG223" s="30" t="e">
        <f>VLOOKUP(Table13[[#This Row],[SONum]],[2]Worksheet1!$B$1:$Z$59,24,0)</f>
        <v>#N/A</v>
      </c>
      <c r="AH223" s="30" t="e">
        <f>VLOOKUP(Table13[[#This Row],[SONum]],[2]Worksheet1!$B$1:$Z$59,25,0)</f>
        <v>#N/A</v>
      </c>
      <c r="AI223" s="31">
        <v>44557</v>
      </c>
      <c r="AJ223" s="22">
        <f>IF(Table13[[#This Row],[RFC Remark]]="DONE",Table13[[#This Row],[RFC Date]]-Table13[[#This Row],[STIP Date]],$AJ$2-Table13[[#This Row],[STIP Date]])</f>
        <v>98</v>
      </c>
      <c r="AK223" s="5" t="s">
        <v>167</v>
      </c>
      <c r="AL223" s="5"/>
      <c r="AM223" s="744"/>
      <c r="AN223" s="5" t="s">
        <v>174</v>
      </c>
      <c r="AO223" s="5" t="s">
        <v>2907</v>
      </c>
      <c r="AP223" s="43"/>
      <c r="AQ223" s="43" t="s">
        <v>3181</v>
      </c>
      <c r="AR223" s="43"/>
    </row>
    <row r="224" spans="1:44" ht="15" customHeight="1">
      <c r="A224" s="5" t="s">
        <v>3206</v>
      </c>
      <c r="B224" s="2" t="s">
        <v>3207</v>
      </c>
      <c r="C224" s="2" t="s">
        <v>3208</v>
      </c>
      <c r="D224" s="2" t="s">
        <v>3080</v>
      </c>
      <c r="E224" s="2" t="s">
        <v>3080</v>
      </c>
      <c r="F224" s="2" t="s">
        <v>10</v>
      </c>
      <c r="G224" s="2" t="s">
        <v>100</v>
      </c>
      <c r="H224" s="2" t="s">
        <v>2767</v>
      </c>
      <c r="I224" s="2" t="s">
        <v>4</v>
      </c>
      <c r="J224" t="s">
        <v>3209</v>
      </c>
      <c r="K224" s="2" t="s">
        <v>3209</v>
      </c>
      <c r="L224" s="28">
        <v>44488</v>
      </c>
      <c r="M224" s="2" t="s">
        <v>3210</v>
      </c>
      <c r="N224" s="2" t="s">
        <v>3211</v>
      </c>
      <c r="O224" s="2" t="s">
        <v>2546</v>
      </c>
      <c r="P224" s="2" t="s">
        <v>5</v>
      </c>
      <c r="Q224" s="2" t="s">
        <v>1079</v>
      </c>
      <c r="R224" s="2" t="s">
        <v>7</v>
      </c>
      <c r="S224" s="2" t="s">
        <v>498</v>
      </c>
      <c r="T224" s="5"/>
      <c r="U224" s="5"/>
      <c r="V224" s="5"/>
      <c r="W224" s="5"/>
      <c r="X224" s="5"/>
      <c r="Y224" s="5"/>
      <c r="Z224" s="5"/>
      <c r="AA224" s="5"/>
      <c r="AB224" s="5"/>
      <c r="AC224" s="40"/>
      <c r="AD224" s="5"/>
      <c r="AE224" s="5"/>
      <c r="AF224" s="30" t="e">
        <f>VLOOKUP(Table13[[#This Row],[SONum]],[2]Worksheet1!$B$1:$Z$59,23,0)</f>
        <v>#N/A</v>
      </c>
      <c r="AG224" s="30" t="e">
        <f>VLOOKUP(Table13[[#This Row],[SONum]],[2]Worksheet1!$B$1:$Z$59,24,0)</f>
        <v>#N/A</v>
      </c>
      <c r="AH224" s="30" t="e">
        <f>VLOOKUP(Table13[[#This Row],[SONum]],[2]Worksheet1!$B$1:$Z$59,25,0)</f>
        <v>#N/A</v>
      </c>
      <c r="AI224" s="861">
        <v>44553</v>
      </c>
      <c r="AJ224" s="545">
        <f>IF(Table13[[#This Row],[RFC Remark]]="DONE",Table13[[#This Row],[RFC Date]]-Table13[[#This Row],[STIP Date]],$AJ$2-Table13[[#This Row],[STIP Date]])</f>
        <v>65</v>
      </c>
      <c r="AK224" s="637" t="s">
        <v>167</v>
      </c>
      <c r="AL224" s="637"/>
      <c r="AM224" s="49"/>
      <c r="AN224" s="5" t="s">
        <v>173</v>
      </c>
      <c r="AO224" s="637" t="s">
        <v>173</v>
      </c>
      <c r="AP224" s="496"/>
      <c r="AQ224" s="496"/>
      <c r="AR224" s="496"/>
    </row>
    <row r="225" spans="1:44" ht="15" customHeight="1">
      <c r="A225" s="2" t="s">
        <v>3213</v>
      </c>
      <c r="B225" s="5" t="s">
        <v>3212</v>
      </c>
      <c r="C225" s="19" t="s">
        <v>3192</v>
      </c>
      <c r="D225" s="400" t="s">
        <v>3192</v>
      </c>
      <c r="E225" s="5" t="s">
        <v>3193</v>
      </c>
      <c r="F225" s="5" t="s">
        <v>10</v>
      </c>
      <c r="G225" s="2" t="s">
        <v>100</v>
      </c>
      <c r="H225" s="2" t="s">
        <v>16</v>
      </c>
      <c r="I225" s="2" t="s">
        <v>216</v>
      </c>
      <c r="J225" s="603"/>
      <c r="K225" s="2" t="s">
        <v>3214</v>
      </c>
      <c r="L225" s="28">
        <v>44477</v>
      </c>
      <c r="M225" s="2" t="s">
        <v>3215</v>
      </c>
      <c r="N225" s="2" t="s">
        <v>3216</v>
      </c>
      <c r="O225" s="2" t="s">
        <v>2546</v>
      </c>
      <c r="P225" s="2" t="s">
        <v>5</v>
      </c>
      <c r="Q225" s="2" t="s">
        <v>35</v>
      </c>
      <c r="R225" s="2" t="s">
        <v>7</v>
      </c>
      <c r="S225" s="2" t="s">
        <v>524</v>
      </c>
      <c r="T225" s="5"/>
      <c r="U225" s="5"/>
      <c r="V225" s="5"/>
      <c r="W225" s="5"/>
      <c r="X225" s="5"/>
      <c r="Y225" s="5"/>
      <c r="Z225" s="5"/>
      <c r="AA225" s="5"/>
      <c r="AB225" s="5"/>
      <c r="AC225" s="40"/>
      <c r="AD225" s="5"/>
      <c r="AE225" s="5"/>
      <c r="AF225" s="30" t="e">
        <f>VLOOKUP(Table13[[#This Row],[SONum]],[2]Worksheet1!$B$1:$Z$59,23,0)</f>
        <v>#N/A</v>
      </c>
      <c r="AG225" s="30" t="e">
        <f>VLOOKUP(Table13[[#This Row],[SONum]],[2]Worksheet1!$B$1:$Z$59,24,0)</f>
        <v>#N/A</v>
      </c>
      <c r="AH225" s="30" t="e">
        <f>VLOOKUP(Table13[[#This Row],[SONum]],[2]Worksheet1!$B$1:$Z$59,25,0)</f>
        <v>#N/A</v>
      </c>
      <c r="AI225" s="862">
        <v>44519</v>
      </c>
      <c r="AJ225" s="593">
        <f>IF(Table13[[#This Row],[RFC Remark]]="DONE",Table13[[#This Row],[RFC Date]]-Table13[[#This Row],[STIP Date]],$AJ$2-Table13[[#This Row],[STIP Date]])</f>
        <v>42</v>
      </c>
      <c r="AK225" s="49" t="s">
        <v>167</v>
      </c>
      <c r="AL225" s="49"/>
      <c r="AM225" s="49"/>
      <c r="AN225" s="5" t="s">
        <v>173</v>
      </c>
      <c r="AO225" s="5" t="s">
        <v>173</v>
      </c>
      <c r="AP225" s="53"/>
      <c r="AQ225" s="53"/>
      <c r="AR225" s="53"/>
    </row>
    <row r="226" spans="1:44" ht="15" customHeight="1">
      <c r="A226" s="5" t="s">
        <v>3244</v>
      </c>
      <c r="B226" s="2" t="s">
        <v>3245</v>
      </c>
      <c r="C226" s="2" t="s">
        <v>3246</v>
      </c>
      <c r="D226" s="2" t="s">
        <v>3247</v>
      </c>
      <c r="E226" s="2" t="s">
        <v>3247</v>
      </c>
      <c r="F226" s="2" t="s">
        <v>2</v>
      </c>
      <c r="G226" s="2" t="s">
        <v>100</v>
      </c>
      <c r="H226" s="2" t="s">
        <v>3</v>
      </c>
      <c r="I226" s="2" t="s">
        <v>216</v>
      </c>
      <c r="J226" s="603"/>
      <c r="K226" s="2" t="s">
        <v>3248</v>
      </c>
      <c r="L226" s="28">
        <v>44495</v>
      </c>
      <c r="M226" s="2" t="s">
        <v>3249</v>
      </c>
      <c r="N226" s="2" t="s">
        <v>3250</v>
      </c>
      <c r="O226" s="2" t="s">
        <v>2546</v>
      </c>
      <c r="P226" s="2" t="s">
        <v>5</v>
      </c>
      <c r="Q226" s="2" t="s">
        <v>505</v>
      </c>
      <c r="R226" s="2" t="s">
        <v>7</v>
      </c>
      <c r="S226" s="2" t="s">
        <v>524</v>
      </c>
      <c r="T226" s="5" t="s">
        <v>169</v>
      </c>
      <c r="U226" s="5"/>
      <c r="V226" s="5" t="s">
        <v>314</v>
      </c>
      <c r="W226" s="5">
        <v>-6.1785800000000002</v>
      </c>
      <c r="X226" s="5">
        <v>106.7166</v>
      </c>
      <c r="Y226" s="5">
        <v>25</v>
      </c>
      <c r="Z226" s="5"/>
      <c r="AA226" s="5"/>
      <c r="AB226" s="5"/>
      <c r="AC226" s="40"/>
      <c r="AD226" s="5"/>
      <c r="AE226" s="5"/>
      <c r="AF226" s="30" t="e">
        <f>VLOOKUP(Table13[[#This Row],[SONum]],[2]Worksheet1!$B$1:$Z$59,23,0)</f>
        <v>#N/A</v>
      </c>
      <c r="AG226" s="30" t="e">
        <f>VLOOKUP(Table13[[#This Row],[SONum]],[2]Worksheet1!$B$1:$Z$59,24,0)</f>
        <v>#N/A</v>
      </c>
      <c r="AH226" s="30" t="e">
        <f>VLOOKUP(Table13[[#This Row],[SONum]],[2]Worksheet1!$B$1:$Z$59,25,0)</f>
        <v>#N/A</v>
      </c>
      <c r="AI226" s="862">
        <v>44503</v>
      </c>
      <c r="AJ226" s="593">
        <f>IF(Table13[[#This Row],[RFC Remark]]="DONE",Table13[[#This Row],[RFC Date]]-Table13[[#This Row],[STIP Date]],$AJ$2-Table13[[#This Row],[STIP Date]])</f>
        <v>8</v>
      </c>
      <c r="AK226" s="49" t="s">
        <v>167</v>
      </c>
      <c r="AL226" s="49"/>
      <c r="AM226" s="49"/>
      <c r="AN226" s="5" t="s">
        <v>311</v>
      </c>
      <c r="AO226" s="5" t="s">
        <v>173</v>
      </c>
      <c r="AP226" s="53"/>
      <c r="AQ226" s="53"/>
      <c r="AR226" s="53"/>
    </row>
    <row r="227" spans="1:44" ht="15" customHeight="1">
      <c r="A227" s="2" t="s">
        <v>3252</v>
      </c>
      <c r="B227" s="2" t="s">
        <v>3253</v>
      </c>
      <c r="C227" s="2" t="s">
        <v>3254</v>
      </c>
      <c r="D227" s="2" t="s">
        <v>3255</v>
      </c>
      <c r="E227" s="2" t="s">
        <v>3255</v>
      </c>
      <c r="F227" s="2" t="s">
        <v>10</v>
      </c>
      <c r="G227" s="2" t="s">
        <v>100</v>
      </c>
      <c r="H227" s="2" t="s">
        <v>3256</v>
      </c>
      <c r="I227" s="2" t="s">
        <v>4</v>
      </c>
      <c r="J227" s="603"/>
      <c r="K227" s="2" t="s">
        <v>3257</v>
      </c>
      <c r="L227" s="28">
        <v>44498</v>
      </c>
      <c r="M227" s="2" t="s">
        <v>3258</v>
      </c>
      <c r="N227" s="2" t="s">
        <v>3259</v>
      </c>
      <c r="O227" s="2" t="s">
        <v>3393</v>
      </c>
      <c r="P227" s="2" t="s">
        <v>11</v>
      </c>
      <c r="Q227" s="2" t="s">
        <v>12</v>
      </c>
      <c r="R227" s="2" t="s">
        <v>13</v>
      </c>
      <c r="S227" s="2" t="s">
        <v>633</v>
      </c>
      <c r="T227" s="5" t="s">
        <v>2091</v>
      </c>
      <c r="U227" s="5" t="s">
        <v>2908</v>
      </c>
      <c r="V227" s="5" t="s">
        <v>178</v>
      </c>
      <c r="W227" s="5">
        <v>-6.9574499999999997</v>
      </c>
      <c r="X227" s="5">
        <v>106.75787</v>
      </c>
      <c r="Y227" s="5">
        <v>62</v>
      </c>
      <c r="Z227" s="5"/>
      <c r="AA227" s="5"/>
      <c r="AB227" s="5"/>
      <c r="AC227" s="40"/>
      <c r="AD227" s="5"/>
      <c r="AE227" s="5"/>
      <c r="AF227" s="30" t="e">
        <f>VLOOKUP(Table13[[#This Row],[SONum]],[2]Worksheet1!$B$1:$Z$59,23,0)</f>
        <v>#N/A</v>
      </c>
      <c r="AG227" s="30" t="e">
        <f>VLOOKUP(Table13[[#This Row],[SONum]],[2]Worksheet1!$B$1:$Z$59,24,0)</f>
        <v>#N/A</v>
      </c>
      <c r="AH227" s="30" t="e">
        <f>VLOOKUP(Table13[[#This Row],[SONum]],[2]Worksheet1!$B$1:$Z$59,25,0)</f>
        <v>#N/A</v>
      </c>
      <c r="AI227" s="31">
        <v>44561</v>
      </c>
      <c r="AJ227" s="22">
        <f>IF(Table13[[#This Row],[RFC Remark]]="DONE",Table13[[#This Row],[RFC Date]]-Table13[[#This Row],[STIP Date]],$AJ$2-Table13[[#This Row],[STIP Date]])</f>
        <v>63</v>
      </c>
      <c r="AK227" s="5" t="s">
        <v>167</v>
      </c>
      <c r="AL227" s="5"/>
      <c r="AM227" s="49"/>
      <c r="AN227" s="5" t="s">
        <v>174</v>
      </c>
      <c r="AO227" s="5" t="s">
        <v>2076</v>
      </c>
      <c r="AP227" s="43"/>
      <c r="AQ227" s="43"/>
      <c r="AR227" s="43"/>
    </row>
    <row r="228" spans="1:44" ht="15" hidden="1" customHeight="1">
      <c r="A228" s="621" t="s">
        <v>3274</v>
      </c>
      <c r="B228" t="s">
        <v>3276</v>
      </c>
      <c r="C228" t="s">
        <v>3277</v>
      </c>
      <c r="D228" t="s">
        <v>3278</v>
      </c>
      <c r="E228" t="s">
        <v>3278</v>
      </c>
      <c r="F228" t="s">
        <v>10</v>
      </c>
      <c r="G228" t="s">
        <v>100</v>
      </c>
      <c r="H228" t="s">
        <v>3256</v>
      </c>
      <c r="I228" t="s">
        <v>4</v>
      </c>
      <c r="J228" s="603"/>
      <c r="K228" t="s">
        <v>3282</v>
      </c>
      <c r="L228" s="638">
        <v>44498</v>
      </c>
      <c r="M228" t="s">
        <v>3283</v>
      </c>
      <c r="N228" t="s">
        <v>3284</v>
      </c>
      <c r="O228" t="s">
        <v>2546</v>
      </c>
      <c r="P228" t="s">
        <v>11</v>
      </c>
      <c r="Q228" t="s">
        <v>638</v>
      </c>
      <c r="R228" t="s">
        <v>13</v>
      </c>
      <c r="S228" t="s">
        <v>2771</v>
      </c>
      <c r="T228" s="621"/>
      <c r="U228" s="621"/>
      <c r="V228" s="621"/>
      <c r="W228" s="621"/>
      <c r="X228" s="621"/>
      <c r="Y228" s="621"/>
      <c r="Z228" s="621"/>
      <c r="AA228" s="621"/>
      <c r="AB228" s="621"/>
      <c r="AC228" s="625"/>
      <c r="AD228" s="621"/>
      <c r="AE228" s="621"/>
      <c r="AF228" s="626"/>
      <c r="AG228" s="627"/>
      <c r="AH228" s="627"/>
      <c r="AI228" s="626"/>
      <c r="AJ228" s="698">
        <f ca="1">IF(Table13[[#This Row],[RFC Remark]]="DONE",Table13[[#This Row],[RFC Date]]-Table13[[#This Row],[STIP Date]],$AJ$2-Table13[[#This Row],[STIP Date]])</f>
        <v>336</v>
      </c>
      <c r="AK228" s="621"/>
      <c r="AL228" s="621"/>
      <c r="AM228" s="5"/>
      <c r="AN228" s="621" t="s">
        <v>2944</v>
      </c>
      <c r="AO228" s="621" t="s">
        <v>3344</v>
      </c>
      <c r="AP228" s="629"/>
      <c r="AQ228" s="496"/>
      <c r="AR228" s="629"/>
    </row>
    <row r="229" spans="1:44" ht="15" customHeight="1">
      <c r="A229" s="49" t="s">
        <v>3275</v>
      </c>
      <c r="B229" t="s">
        <v>3279</v>
      </c>
      <c r="C229" t="s">
        <v>3280</v>
      </c>
      <c r="D229" t="s">
        <v>3281</v>
      </c>
      <c r="E229" t="s">
        <v>3281</v>
      </c>
      <c r="F229" t="s">
        <v>10</v>
      </c>
      <c r="G229" t="s">
        <v>100</v>
      </c>
      <c r="H229" t="s">
        <v>3256</v>
      </c>
      <c r="I229" t="s">
        <v>4</v>
      </c>
      <c r="J229" s="495"/>
      <c r="K229" t="s">
        <v>3285</v>
      </c>
      <c r="L229" s="50">
        <v>44498</v>
      </c>
      <c r="M229" t="s">
        <v>3286</v>
      </c>
      <c r="N229" t="s">
        <v>3287</v>
      </c>
      <c r="O229" t="s">
        <v>3301</v>
      </c>
      <c r="P229" t="s">
        <v>11</v>
      </c>
      <c r="Q229" t="s">
        <v>12</v>
      </c>
      <c r="R229" t="s">
        <v>13</v>
      </c>
      <c r="S229" t="s">
        <v>2660</v>
      </c>
      <c r="T229" s="49" t="s">
        <v>2091</v>
      </c>
      <c r="U229" s="49" t="s">
        <v>2908</v>
      </c>
      <c r="V229" s="49" t="s">
        <v>314</v>
      </c>
      <c r="W229" s="49">
        <v>-7.2454599999999996</v>
      </c>
      <c r="X229" s="49">
        <v>106.65175000000001</v>
      </c>
      <c r="Y229" s="49">
        <v>62</v>
      </c>
      <c r="Z229" s="49"/>
      <c r="AA229" s="49"/>
      <c r="AB229" s="49"/>
      <c r="AC229" s="58"/>
      <c r="AD229" s="49"/>
      <c r="AE229" s="49"/>
      <c r="AF229" s="51"/>
      <c r="AG229" s="52"/>
      <c r="AH229" s="52"/>
      <c r="AI229" s="51">
        <v>44530</v>
      </c>
      <c r="AJ229" s="593">
        <f>IF(Table13[[#This Row],[RFC Remark]]="DONE",Table13[[#This Row],[RFC Date]]-Table13[[#This Row],[STIP Date]],$AJ$2-Table13[[#This Row],[STIP Date]])</f>
        <v>32</v>
      </c>
      <c r="AK229" s="49" t="s">
        <v>167</v>
      </c>
      <c r="AL229" s="5" t="str">
        <f>IF(Table13[[#This Row],[Aging RFC]]&lt;=85,"ONTIME","DELAY")</f>
        <v>ONTIME</v>
      </c>
      <c r="AM229" s="49"/>
      <c r="AN229" s="5" t="s">
        <v>2597</v>
      </c>
      <c r="AO229" s="49"/>
      <c r="AP229" s="53"/>
      <c r="AQ229" s="496"/>
      <c r="AR229" s="53"/>
    </row>
    <row r="230" spans="1:44" ht="15" customHeight="1">
      <c r="A230" t="s">
        <v>3293</v>
      </c>
      <c r="B230" t="s">
        <v>3291</v>
      </c>
      <c r="C230" t="s">
        <v>3292</v>
      </c>
      <c r="D230" t="s">
        <v>3273</v>
      </c>
      <c r="E230" t="s">
        <v>3273</v>
      </c>
      <c r="F230" t="s">
        <v>10</v>
      </c>
      <c r="G230" t="s">
        <v>100</v>
      </c>
      <c r="H230" t="s">
        <v>3256</v>
      </c>
      <c r="I230" t="s">
        <v>4</v>
      </c>
      <c r="J230" s="603"/>
      <c r="K230" s="49" t="s">
        <v>3288</v>
      </c>
      <c r="L230" s="50">
        <v>44498</v>
      </c>
      <c r="M230" s="50" t="s">
        <v>3289</v>
      </c>
      <c r="N230" s="50" t="s">
        <v>3290</v>
      </c>
      <c r="O230" s="49" t="s">
        <v>2546</v>
      </c>
      <c r="P230" s="50" t="s">
        <v>11</v>
      </c>
      <c r="Q230" s="50" t="s">
        <v>12</v>
      </c>
      <c r="R230" s="50" t="s">
        <v>13</v>
      </c>
      <c r="S230" s="877" t="s">
        <v>2771</v>
      </c>
      <c r="T230" s="49" t="s">
        <v>221</v>
      </c>
      <c r="U230" s="49" t="s">
        <v>2908</v>
      </c>
      <c r="V230" s="49" t="s">
        <v>316</v>
      </c>
      <c r="W230" s="49">
        <v>-7.4170100000000003</v>
      </c>
      <c r="X230" s="49">
        <v>106.78173</v>
      </c>
      <c r="Y230" s="49">
        <v>52</v>
      </c>
      <c r="Z230" s="49"/>
      <c r="AA230" s="49"/>
      <c r="AB230" s="49"/>
      <c r="AC230" s="58"/>
      <c r="AD230" s="49"/>
      <c r="AE230" s="49"/>
      <c r="AF230" s="51"/>
      <c r="AG230" s="52"/>
      <c r="AH230" s="52"/>
      <c r="AI230" s="51">
        <v>44530</v>
      </c>
      <c r="AJ230" s="593">
        <f>IF(Table13[[#This Row],[RFC Remark]]="DONE",Table13[[#This Row],[RFC Date]]-Table13[[#This Row],[STIP Date]],$AJ$2-Table13[[#This Row],[STIP Date]])</f>
        <v>32</v>
      </c>
      <c r="AK230" s="49" t="s">
        <v>167</v>
      </c>
      <c r="AL230" s="5" t="str">
        <f>IF(Table13[[#This Row],[Aging RFC]]&lt;=85,"ONTIME","DELAY")</f>
        <v>ONTIME</v>
      </c>
      <c r="AM230" s="49"/>
      <c r="AN230" s="5" t="s">
        <v>2597</v>
      </c>
      <c r="AO230" s="49"/>
      <c r="AP230" s="53"/>
      <c r="AQ230" s="53"/>
      <c r="AR230" s="53"/>
    </row>
    <row r="231" spans="1:44" ht="15" customHeight="1">
      <c r="A231" s="5" t="s">
        <v>3358</v>
      </c>
      <c r="B231" s="2" t="s">
        <v>3362</v>
      </c>
      <c r="C231" s="2" t="s">
        <v>3363</v>
      </c>
      <c r="D231" s="2" t="s">
        <v>3364</v>
      </c>
      <c r="E231" s="2" t="s">
        <v>3364</v>
      </c>
      <c r="F231" s="2" t="s">
        <v>10</v>
      </c>
      <c r="G231" s="2" t="s">
        <v>100</v>
      </c>
      <c r="H231" s="2" t="s">
        <v>54</v>
      </c>
      <c r="I231" s="2" t="s">
        <v>4</v>
      </c>
      <c r="J231" s="603"/>
      <c r="K231" s="2" t="s">
        <v>3374</v>
      </c>
      <c r="L231" s="28">
        <v>44546</v>
      </c>
      <c r="M231" s="2" t="s">
        <v>3375</v>
      </c>
      <c r="N231" s="2" t="s">
        <v>3376</v>
      </c>
      <c r="O231" s="5" t="s">
        <v>3407</v>
      </c>
      <c r="P231" s="2" t="s">
        <v>11</v>
      </c>
      <c r="Q231" s="2" t="s">
        <v>12</v>
      </c>
      <c r="R231" s="2" t="s">
        <v>13</v>
      </c>
      <c r="S231" s="2" t="s">
        <v>2660</v>
      </c>
      <c r="T231" s="5" t="s">
        <v>221</v>
      </c>
      <c r="U231" s="5" t="s">
        <v>2908</v>
      </c>
      <c r="V231" s="5" t="s">
        <v>316</v>
      </c>
      <c r="W231" s="5">
        <v>-6.85067</v>
      </c>
      <c r="X231" s="5">
        <v>106.88467</v>
      </c>
      <c r="Y231" s="5">
        <v>62</v>
      </c>
      <c r="Z231" s="5"/>
      <c r="AA231" s="5"/>
      <c r="AB231" s="5"/>
      <c r="AC231" s="40"/>
      <c r="AD231" s="5"/>
      <c r="AE231" s="5"/>
      <c r="AF231" s="31">
        <v>44574</v>
      </c>
      <c r="AG231" s="34"/>
      <c r="AH231" s="34"/>
      <c r="AI231" s="31"/>
      <c r="AJ231" s="22">
        <f ca="1">IF(Table13[[#This Row],[RFC Remark]]="DONE",Table13[[#This Row],[RFC Date]]-Table13[[#This Row],[STIP Date]],$AJ$2-Table13[[#This Row],[STIP Date]])</f>
        <v>288</v>
      </c>
      <c r="AK231" s="5"/>
      <c r="AL231" s="5"/>
      <c r="AM231" s="603"/>
      <c r="AN231" s="5" t="s">
        <v>312</v>
      </c>
      <c r="AO231" s="5" t="s">
        <v>2075</v>
      </c>
      <c r="AP231" s="43"/>
      <c r="AQ231" s="43"/>
      <c r="AR231" s="43"/>
    </row>
    <row r="232" spans="1:44" ht="15" customHeight="1">
      <c r="A232" s="5" t="s">
        <v>3359</v>
      </c>
      <c r="B232" s="2" t="s">
        <v>3365</v>
      </c>
      <c r="C232" s="2" t="s">
        <v>3366</v>
      </c>
      <c r="D232" s="2" t="s">
        <v>3367</v>
      </c>
      <c r="E232" s="2" t="s">
        <v>3367</v>
      </c>
      <c r="F232" s="2" t="s">
        <v>10</v>
      </c>
      <c r="G232" s="2" t="s">
        <v>100</v>
      </c>
      <c r="H232" s="2" t="s">
        <v>54</v>
      </c>
      <c r="I232" s="2" t="s">
        <v>4</v>
      </c>
      <c r="J232" s="603"/>
      <c r="K232" s="2" t="s">
        <v>3377</v>
      </c>
      <c r="L232" s="28">
        <v>44546</v>
      </c>
      <c r="M232" s="2" t="s">
        <v>3378</v>
      </c>
      <c r="N232" s="2" t="s">
        <v>3379</v>
      </c>
      <c r="O232" s="5" t="s">
        <v>3435</v>
      </c>
      <c r="P232" s="2" t="s">
        <v>11</v>
      </c>
      <c r="Q232" s="2" t="s">
        <v>772</v>
      </c>
      <c r="R232" s="2" t="s">
        <v>20</v>
      </c>
      <c r="S232" s="2" t="s">
        <v>2771</v>
      </c>
      <c r="T232" s="5" t="s">
        <v>169</v>
      </c>
      <c r="U232" s="5" t="s">
        <v>2909</v>
      </c>
      <c r="V232" s="5" t="s">
        <v>316</v>
      </c>
      <c r="W232" s="5">
        <v>-6.0973899999999999</v>
      </c>
      <c r="X232" s="5">
        <v>106.30466</v>
      </c>
      <c r="Y232" s="5">
        <v>52</v>
      </c>
      <c r="Z232" s="5"/>
      <c r="AA232" s="5"/>
      <c r="AB232" s="5"/>
      <c r="AC232" s="40"/>
      <c r="AD232" s="5"/>
      <c r="AE232" s="5"/>
      <c r="AF232" s="31">
        <v>44574</v>
      </c>
      <c r="AG232" s="34"/>
      <c r="AH232" s="34"/>
      <c r="AI232" s="31"/>
      <c r="AJ232" s="22">
        <f ca="1">IF(Table13[[#This Row],[RFC Remark]]="DONE",Table13[[#This Row],[RFC Date]]-Table13[[#This Row],[STIP Date]],$AJ$2-Table13[[#This Row],[STIP Date]])</f>
        <v>288</v>
      </c>
      <c r="AK232" s="5"/>
      <c r="AL232" s="5"/>
      <c r="AM232" s="603"/>
      <c r="AN232" s="5" t="s">
        <v>312</v>
      </c>
      <c r="AO232" s="5" t="s">
        <v>2075</v>
      </c>
      <c r="AP232" s="43"/>
      <c r="AQ232" s="43"/>
      <c r="AR232" s="43"/>
    </row>
    <row r="233" spans="1:44" ht="15" customHeight="1">
      <c r="A233" s="637" t="s">
        <v>3360</v>
      </c>
      <c r="B233" t="s">
        <v>3368</v>
      </c>
      <c r="C233" t="s">
        <v>3369</v>
      </c>
      <c r="D233" t="s">
        <v>3370</v>
      </c>
      <c r="E233" t="s">
        <v>3370</v>
      </c>
      <c r="F233" t="s">
        <v>10</v>
      </c>
      <c r="G233" t="s">
        <v>100</v>
      </c>
      <c r="H233" t="s">
        <v>54</v>
      </c>
      <c r="I233" t="s">
        <v>4</v>
      </c>
      <c r="J233" s="603"/>
      <c r="K233" t="s">
        <v>3380</v>
      </c>
      <c r="L233" s="821">
        <v>44546</v>
      </c>
      <c r="M233" t="s">
        <v>3381</v>
      </c>
      <c r="N233" t="s">
        <v>3382</v>
      </c>
      <c r="O233" s="637"/>
      <c r="P233" t="s">
        <v>11</v>
      </c>
      <c r="Q233" t="s">
        <v>12</v>
      </c>
      <c r="R233" t="s">
        <v>13</v>
      </c>
      <c r="S233" t="s">
        <v>2771</v>
      </c>
      <c r="T233" s="637" t="s">
        <v>221</v>
      </c>
      <c r="U233" s="637" t="s">
        <v>2908</v>
      </c>
      <c r="V233" s="637"/>
      <c r="W233" s="637"/>
      <c r="X233" s="637"/>
      <c r="Y233" s="637"/>
      <c r="Z233" s="637"/>
      <c r="AA233" s="637"/>
      <c r="AB233" s="637"/>
      <c r="AC233" s="642"/>
      <c r="AD233" s="637"/>
      <c r="AE233" s="637"/>
      <c r="AF233" s="643"/>
      <c r="AG233" s="644"/>
      <c r="AH233" s="644"/>
      <c r="AI233" s="643"/>
      <c r="AJ233" s="545">
        <f ca="1">IF(Table13[[#This Row],[RFC Remark]]="DONE",Table13[[#This Row],[RFC Date]]-Table13[[#This Row],[STIP Date]],$AJ$2-Table13[[#This Row],[STIP Date]])</f>
        <v>288</v>
      </c>
      <c r="AK233" s="637"/>
      <c r="AL233" s="637"/>
      <c r="AM233" s="49"/>
      <c r="AN233" s="621" t="s">
        <v>312</v>
      </c>
      <c r="AO233" s="621" t="s">
        <v>2866</v>
      </c>
      <c r="AP233" s="496"/>
      <c r="AQ233" s="496"/>
      <c r="AR233" s="496"/>
    </row>
    <row r="234" spans="1:44" ht="15" customHeight="1">
      <c r="A234" s="49" t="s">
        <v>3361</v>
      </c>
      <c r="B234" t="s">
        <v>3371</v>
      </c>
      <c r="C234" t="s">
        <v>3372</v>
      </c>
      <c r="D234" t="s">
        <v>3373</v>
      </c>
      <c r="E234" t="s">
        <v>3373</v>
      </c>
      <c r="F234" t="s">
        <v>10</v>
      </c>
      <c r="G234" t="s">
        <v>100</v>
      </c>
      <c r="H234" t="s">
        <v>54</v>
      </c>
      <c r="I234" t="s">
        <v>4</v>
      </c>
      <c r="J234" s="603"/>
      <c r="K234" t="s">
        <v>3383</v>
      </c>
      <c r="L234" s="821">
        <v>44546</v>
      </c>
      <c r="M234" t="s">
        <v>3384</v>
      </c>
      <c r="N234" t="s">
        <v>3385</v>
      </c>
      <c r="O234" s="49"/>
      <c r="P234" t="s">
        <v>11</v>
      </c>
      <c r="Q234" t="s">
        <v>26</v>
      </c>
      <c r="R234" t="s">
        <v>13</v>
      </c>
      <c r="S234" t="s">
        <v>2771</v>
      </c>
      <c r="T234" s="49" t="s">
        <v>168</v>
      </c>
      <c r="U234" s="49" t="s">
        <v>2908</v>
      </c>
      <c r="V234" s="49"/>
      <c r="W234" s="49"/>
      <c r="X234" s="49"/>
      <c r="Y234" s="49"/>
      <c r="Z234" s="49"/>
      <c r="AA234" s="49"/>
      <c r="AB234" s="49"/>
      <c r="AC234" s="58"/>
      <c r="AD234" s="49"/>
      <c r="AE234" s="49"/>
      <c r="AF234" s="51"/>
      <c r="AG234" s="52"/>
      <c r="AH234" s="52"/>
      <c r="AI234" s="51"/>
      <c r="AJ234" s="593">
        <f ca="1">IF(Table13[[#This Row],[RFC Remark]]="DONE",Table13[[#This Row],[RFC Date]]-Table13[[#This Row],[STIP Date]],$AJ$2-Table13[[#This Row],[STIP Date]])</f>
        <v>288</v>
      </c>
      <c r="AK234" s="49"/>
      <c r="AL234" s="49"/>
      <c r="AM234" s="49"/>
      <c r="AN234" s="5" t="s">
        <v>312</v>
      </c>
      <c r="AO234" s="5" t="s">
        <v>2075</v>
      </c>
      <c r="AP234" s="53"/>
      <c r="AQ234" s="53"/>
      <c r="AR234" s="53"/>
    </row>
    <row r="235" spans="1:44" ht="15" hidden="1" customHeight="1">
      <c r="A235" s="49" t="s">
        <v>3443</v>
      </c>
      <c r="B235" s="49" t="s">
        <v>3444</v>
      </c>
      <c r="C235" s="950" t="s">
        <v>3445</v>
      </c>
      <c r="D235" s="49" t="s">
        <v>3446</v>
      </c>
      <c r="E235" s="49" t="s">
        <v>3446</v>
      </c>
      <c r="F235" s="49" t="s">
        <v>10</v>
      </c>
      <c r="G235" t="s">
        <v>100</v>
      </c>
      <c r="H235" t="s">
        <v>867</v>
      </c>
      <c r="I235" t="s">
        <v>216</v>
      </c>
      <c r="J235" s="603"/>
      <c r="K235" t="s">
        <v>3447</v>
      </c>
      <c r="L235" s="821">
        <v>44558</v>
      </c>
      <c r="M235" t="s">
        <v>3448</v>
      </c>
      <c r="N235" t="s">
        <v>3449</v>
      </c>
      <c r="O235" t="s">
        <v>2546</v>
      </c>
      <c r="P235" t="s">
        <v>11</v>
      </c>
      <c r="Q235" t="s">
        <v>19</v>
      </c>
      <c r="R235" t="s">
        <v>20</v>
      </c>
      <c r="S235" s="877"/>
      <c r="T235" s="49"/>
      <c r="U235" s="49"/>
      <c r="V235" s="49"/>
      <c r="W235" s="49"/>
      <c r="X235" s="49"/>
      <c r="Y235" s="49"/>
      <c r="Z235" s="49"/>
      <c r="AA235" s="49"/>
      <c r="AB235" s="49"/>
      <c r="AC235" s="58"/>
      <c r="AD235" s="49"/>
      <c r="AE235" s="49"/>
      <c r="AF235" s="51"/>
      <c r="AG235" s="52"/>
      <c r="AH235" s="52"/>
      <c r="AI235" s="51"/>
      <c r="AJ235" s="593">
        <f ca="1">IF(Table13[[#This Row],[RFC Remark]]="DONE",Table13[[#This Row],[RFC Date]]-Table13[[#This Row],[STIP Date]],$AJ$2-Table13[[#This Row],[STIP Date]])</f>
        <v>276</v>
      </c>
      <c r="AK235" s="49"/>
      <c r="AL235" s="49"/>
      <c r="AM235" s="49"/>
      <c r="AN235" s="49"/>
      <c r="AO235" s="49"/>
      <c r="AP235" s="53"/>
      <c r="AQ235" s="53"/>
      <c r="AR235" s="53"/>
    </row>
    <row r="236" spans="1:44" ht="15" hidden="1" customHeight="1">
      <c r="A236" s="49" t="s">
        <v>3450</v>
      </c>
      <c r="B236" s="49" t="s">
        <v>3451</v>
      </c>
      <c r="C236" s="950" t="s">
        <v>3452</v>
      </c>
      <c r="D236" s="49" t="s">
        <v>3453</v>
      </c>
      <c r="E236" s="49" t="s">
        <v>3453</v>
      </c>
      <c r="F236" s="49" t="s">
        <v>10</v>
      </c>
      <c r="G236" t="s">
        <v>100</v>
      </c>
      <c r="H236" t="s">
        <v>867</v>
      </c>
      <c r="I236" t="s">
        <v>216</v>
      </c>
      <c r="J236" s="603"/>
      <c r="K236" t="s">
        <v>3454</v>
      </c>
      <c r="L236" s="821">
        <v>44558</v>
      </c>
      <c r="M236" t="s">
        <v>3455</v>
      </c>
      <c r="N236" t="s">
        <v>3456</v>
      </c>
      <c r="O236" t="s">
        <v>2546</v>
      </c>
      <c r="P236" t="s">
        <v>5</v>
      </c>
      <c r="Q236" t="s">
        <v>6</v>
      </c>
      <c r="R236" t="s">
        <v>7</v>
      </c>
      <c r="S236" s="877"/>
      <c r="T236" s="49"/>
      <c r="U236" s="49"/>
      <c r="V236" s="49"/>
      <c r="W236" s="49"/>
      <c r="X236" s="49"/>
      <c r="Y236" s="49"/>
      <c r="Z236" s="49"/>
      <c r="AA236" s="49"/>
      <c r="AB236" s="49"/>
      <c r="AC236" s="58"/>
      <c r="AD236" s="49"/>
      <c r="AE236" s="49"/>
      <c r="AF236" s="51"/>
      <c r="AG236" s="52"/>
      <c r="AH236" s="52"/>
      <c r="AI236" s="51"/>
      <c r="AJ236" s="593">
        <f ca="1">IF(Table13[[#This Row],[RFC Remark]]="DONE",Table13[[#This Row],[RFC Date]]-Table13[[#This Row],[STIP Date]],$AJ$2-Table13[[#This Row],[STIP Date]])</f>
        <v>276</v>
      </c>
      <c r="AK236" s="49"/>
      <c r="AL236" s="49"/>
      <c r="AM236" s="49"/>
      <c r="AN236" s="49"/>
      <c r="AO236" s="49"/>
      <c r="AP236" s="53"/>
      <c r="AQ236" s="53"/>
      <c r="AR236" s="53"/>
    </row>
    <row r="237" spans="1:44" ht="15" hidden="1" customHeight="1">
      <c r="A237" s="49" t="s">
        <v>3457</v>
      </c>
      <c r="B237" s="49" t="s">
        <v>3458</v>
      </c>
      <c r="C237" s="950" t="s">
        <v>3459</v>
      </c>
      <c r="D237" s="49" t="s">
        <v>3460</v>
      </c>
      <c r="E237" s="49" t="s">
        <v>3460</v>
      </c>
      <c r="F237" s="49" t="s">
        <v>10</v>
      </c>
      <c r="G237" t="s">
        <v>100</v>
      </c>
      <c r="H237" t="s">
        <v>3</v>
      </c>
      <c r="I237" t="s">
        <v>4</v>
      </c>
      <c r="J237" s="603"/>
      <c r="K237" t="s">
        <v>3469</v>
      </c>
      <c r="L237" s="821">
        <v>44553</v>
      </c>
      <c r="M237" t="s">
        <v>3470</v>
      </c>
      <c r="N237" t="s">
        <v>3471</v>
      </c>
      <c r="O237" t="s">
        <v>2546</v>
      </c>
      <c r="P237" t="s">
        <v>5</v>
      </c>
      <c r="Q237" t="s">
        <v>35</v>
      </c>
      <c r="R237" t="s">
        <v>7</v>
      </c>
      <c r="S237" t="s">
        <v>602</v>
      </c>
      <c r="T237" s="49"/>
      <c r="U237" s="49"/>
      <c r="V237" s="49"/>
      <c r="W237" s="49"/>
      <c r="X237" s="49"/>
      <c r="Y237" s="49"/>
      <c r="Z237" s="49"/>
      <c r="AA237" s="49"/>
      <c r="AB237" s="49"/>
      <c r="AC237" s="58"/>
      <c r="AD237" s="49"/>
      <c r="AE237" s="49"/>
      <c r="AF237" s="51"/>
      <c r="AG237" s="52"/>
      <c r="AH237" s="52"/>
      <c r="AI237" s="51"/>
      <c r="AJ237" s="593">
        <f ca="1">IF(Table13[[#This Row],[RFC Remark]]="DONE",Table13[[#This Row],[RFC Date]]-Table13[[#This Row],[STIP Date]],$AJ$2-Table13[[#This Row],[STIP Date]])</f>
        <v>281</v>
      </c>
      <c r="AK237" s="49"/>
      <c r="AL237" s="49"/>
      <c r="AM237" s="49"/>
      <c r="AN237" s="49"/>
      <c r="AO237" s="49"/>
      <c r="AP237" s="53"/>
      <c r="AQ237" s="53"/>
      <c r="AR237" s="53"/>
    </row>
    <row r="238" spans="1:44" ht="15" hidden="1" customHeight="1">
      <c r="A238" s="49" t="s">
        <v>3461</v>
      </c>
      <c r="B238" s="49" t="s">
        <v>3462</v>
      </c>
      <c r="C238" s="950" t="s">
        <v>3463</v>
      </c>
      <c r="D238" s="49" t="s">
        <v>3464</v>
      </c>
      <c r="E238" s="49" t="s">
        <v>3464</v>
      </c>
      <c r="F238" s="49" t="s">
        <v>2</v>
      </c>
      <c r="G238" t="s">
        <v>100</v>
      </c>
      <c r="H238" t="s">
        <v>3256</v>
      </c>
      <c r="I238" t="s">
        <v>216</v>
      </c>
      <c r="J238" s="603"/>
      <c r="K238" t="s">
        <v>3472</v>
      </c>
      <c r="L238" s="821">
        <v>44522</v>
      </c>
      <c r="M238" t="s">
        <v>3473</v>
      </c>
      <c r="N238" t="s">
        <v>3474</v>
      </c>
      <c r="O238" t="s">
        <v>2546</v>
      </c>
      <c r="P238" t="s">
        <v>5</v>
      </c>
      <c r="Q238" t="s">
        <v>6</v>
      </c>
      <c r="R238" t="s">
        <v>7</v>
      </c>
      <c r="S238" t="s">
        <v>510</v>
      </c>
      <c r="T238" s="49"/>
      <c r="U238" s="49"/>
      <c r="V238" s="49"/>
      <c r="W238" s="49"/>
      <c r="X238" s="49"/>
      <c r="Y238" s="49"/>
      <c r="Z238" s="49"/>
      <c r="AA238" s="49"/>
      <c r="AB238" s="49"/>
      <c r="AC238" s="58"/>
      <c r="AD238" s="49"/>
      <c r="AE238" s="49"/>
      <c r="AF238" s="51"/>
      <c r="AG238" s="52"/>
      <c r="AH238" s="52"/>
      <c r="AI238" s="51"/>
      <c r="AJ238" s="593">
        <f ca="1">IF(Table13[[#This Row],[RFC Remark]]="DONE",Table13[[#This Row],[RFC Date]]-Table13[[#This Row],[STIP Date]],$AJ$2-Table13[[#This Row],[STIP Date]])</f>
        <v>312</v>
      </c>
      <c r="AK238" s="49"/>
      <c r="AL238" s="49"/>
      <c r="AM238" s="49"/>
      <c r="AN238" s="49"/>
      <c r="AO238" s="49"/>
      <c r="AP238" s="53"/>
      <c r="AQ238" s="53"/>
      <c r="AR238" s="53"/>
    </row>
    <row r="239" spans="1:44" ht="15" hidden="1" customHeight="1">
      <c r="A239" s="49" t="s">
        <v>3465</v>
      </c>
      <c r="B239" s="49" t="s">
        <v>3466</v>
      </c>
      <c r="C239" s="950" t="s">
        <v>3467</v>
      </c>
      <c r="D239" s="49" t="s">
        <v>3468</v>
      </c>
      <c r="E239" s="49" t="s">
        <v>3468</v>
      </c>
      <c r="F239" s="49" t="s">
        <v>10</v>
      </c>
      <c r="G239" t="s">
        <v>100</v>
      </c>
      <c r="H239" t="s">
        <v>3</v>
      </c>
      <c r="I239" t="s">
        <v>4</v>
      </c>
      <c r="J239" s="603"/>
      <c r="K239" t="s">
        <v>3475</v>
      </c>
      <c r="L239" s="821">
        <v>44553</v>
      </c>
      <c r="M239" t="s">
        <v>3476</v>
      </c>
      <c r="N239" t="s">
        <v>3477</v>
      </c>
      <c r="O239" t="s">
        <v>2546</v>
      </c>
      <c r="P239" t="s">
        <v>11</v>
      </c>
      <c r="Q239" t="s">
        <v>29</v>
      </c>
      <c r="R239" t="s">
        <v>20</v>
      </c>
      <c r="S239" t="s">
        <v>633</v>
      </c>
      <c r="T239" s="49"/>
      <c r="U239" s="49"/>
      <c r="V239" s="49"/>
      <c r="W239" s="49"/>
      <c r="X239" s="49"/>
      <c r="Y239" s="49"/>
      <c r="Z239" s="49"/>
      <c r="AA239" s="49"/>
      <c r="AB239" s="49"/>
      <c r="AC239" s="58"/>
      <c r="AD239" s="49"/>
      <c r="AE239" s="49"/>
      <c r="AF239" s="51"/>
      <c r="AG239" s="52"/>
      <c r="AH239" s="52"/>
      <c r="AI239" s="51"/>
      <c r="AJ239" s="593">
        <f ca="1">IF(Table13[[#This Row],[RFC Remark]]="DONE",Table13[[#This Row],[RFC Date]]-Table13[[#This Row],[STIP Date]],$AJ$2-Table13[[#This Row],[STIP Date]])</f>
        <v>281</v>
      </c>
      <c r="AK239" s="49"/>
      <c r="AL239" s="49"/>
      <c r="AM239" s="49"/>
      <c r="AN239" s="49"/>
      <c r="AO239" s="49"/>
      <c r="AP239" s="53"/>
      <c r="AQ239" s="53"/>
      <c r="AR239" s="53"/>
    </row>
    <row r="240" spans="1:44" ht="15" hidden="1" customHeight="1">
      <c r="A240" s="49" t="s">
        <v>3478</v>
      </c>
      <c r="B240" s="49" t="s">
        <v>3479</v>
      </c>
      <c r="C240" s="950" t="s">
        <v>3480</v>
      </c>
      <c r="D240" s="49" t="s">
        <v>3481</v>
      </c>
      <c r="E240" s="49" t="s">
        <v>3481</v>
      </c>
      <c r="F240" s="49" t="s">
        <v>10</v>
      </c>
      <c r="G240" t="s">
        <v>100</v>
      </c>
      <c r="H240" t="s">
        <v>3</v>
      </c>
      <c r="I240" t="s">
        <v>4</v>
      </c>
      <c r="J240" s="603"/>
      <c r="K240" t="s">
        <v>3482</v>
      </c>
      <c r="L240" s="821">
        <v>44553</v>
      </c>
      <c r="M240" t="s">
        <v>3483</v>
      </c>
      <c r="N240" t="s">
        <v>3484</v>
      </c>
      <c r="O240" t="s">
        <v>2546</v>
      </c>
      <c r="P240" t="s">
        <v>5</v>
      </c>
      <c r="Q240" t="s">
        <v>505</v>
      </c>
      <c r="R240" t="s">
        <v>7</v>
      </c>
      <c r="S240" t="s">
        <v>498</v>
      </c>
      <c r="T240" s="49"/>
      <c r="U240" s="49"/>
      <c r="V240" s="49"/>
      <c r="W240" s="49"/>
      <c r="X240" s="49"/>
      <c r="Y240" s="49"/>
      <c r="Z240" s="49"/>
      <c r="AA240" s="49"/>
      <c r="AB240" s="49"/>
      <c r="AC240" s="58"/>
      <c r="AD240" s="49"/>
      <c r="AE240" s="49"/>
      <c r="AF240" s="51"/>
      <c r="AG240" s="52"/>
      <c r="AH240" s="52"/>
      <c r="AI240" s="51"/>
      <c r="AJ240" s="593">
        <f ca="1">IF(Table13[[#This Row],[RFC Remark]]="DONE",Table13[[#This Row],[RFC Date]]-Table13[[#This Row],[STIP Date]],$AJ$2-Table13[[#This Row],[STIP Date]])</f>
        <v>281</v>
      </c>
      <c r="AK240" s="49"/>
      <c r="AL240" s="49"/>
      <c r="AM240" s="49"/>
      <c r="AN240" s="49"/>
      <c r="AO240" s="49"/>
      <c r="AP240" s="53"/>
      <c r="AQ240" s="53"/>
      <c r="AR240" s="53"/>
    </row>
  </sheetData>
  <conditionalFormatting sqref="C127:C130">
    <cfRule type="duplicateValues" dxfId="250" priority="9"/>
  </conditionalFormatting>
  <conditionalFormatting sqref="C1:C126 D132:D137 D145:D170 D172:D1048576">
    <cfRule type="duplicateValues" dxfId="249" priority="56"/>
  </conditionalFormatting>
  <conditionalFormatting sqref="D171">
    <cfRule type="duplicateValues" dxfId="248" priority="7"/>
  </conditionalFormatting>
  <conditionalFormatting sqref="E196">
    <cfRule type="duplicateValues" dxfId="247" priority="6"/>
  </conditionalFormatting>
  <conditionalFormatting sqref="E206">
    <cfRule type="duplicateValues" dxfId="246" priority="4"/>
  </conditionalFormatting>
  <conditionalFormatting sqref="E216">
    <cfRule type="duplicateValues" dxfId="245" priority="3"/>
  </conditionalFormatting>
  <conditionalFormatting sqref="E214">
    <cfRule type="duplicateValues" dxfId="244" priority="2"/>
  </conditionalFormatting>
  <conditionalFormatting sqref="E205">
    <cfRule type="duplicateValues" dxfId="243" priority="1"/>
  </conditionalFormatting>
  <dataValidations disablePrompts="1" count="1">
    <dataValidation allowBlank="1" showErrorMessage="1" errorTitle="An invalid value was entered" error="Please select an item from list!" sqref="T132:T143" xr:uid="{00000000-0002-0000-0100-000000000000}"/>
  </dataValidations>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M222"/>
  <sheetViews>
    <sheetView workbookViewId="0">
      <pane xSplit="2" ySplit="1" topLeftCell="E206" activePane="bottomRight" state="frozen"/>
      <selection activeCell="D149" sqref="D149:D156"/>
      <selection pane="topRight" activeCell="D149" sqref="D149:D156"/>
      <selection pane="bottomLeft" activeCell="D149" sqref="D149:D156"/>
      <selection pane="bottomRight" activeCell="I208" sqref="I208"/>
    </sheetView>
  </sheetViews>
  <sheetFormatPr defaultRowHeight="15"/>
  <cols>
    <col min="1" max="1" width="14.85546875" customWidth="1"/>
    <col min="2" max="2" width="32.85546875" customWidth="1"/>
    <col min="3" max="3" width="19.140625" customWidth="1"/>
    <col min="4" max="4" width="19.7109375" customWidth="1"/>
    <col min="5" max="5" width="14.42578125" customWidth="1"/>
    <col min="6" max="6" width="11.140625" customWidth="1"/>
    <col min="7" max="7" width="10.42578125" customWidth="1"/>
    <col min="8" max="8" width="11.7109375" bestFit="1" customWidth="1"/>
    <col min="9" max="9" width="10.85546875" bestFit="1" customWidth="1"/>
    <col min="10" max="10" width="13.5703125" customWidth="1"/>
    <col min="11" max="11" width="10" customWidth="1"/>
    <col min="12" max="12" width="36.28515625" customWidth="1"/>
  </cols>
  <sheetData>
    <row r="1" spans="1:13" ht="36">
      <c r="A1" s="788" t="s">
        <v>67</v>
      </c>
      <c r="B1" s="788" t="s">
        <v>68</v>
      </c>
      <c r="C1" s="788" t="s">
        <v>79</v>
      </c>
      <c r="D1" s="788" t="s">
        <v>80</v>
      </c>
      <c r="E1" s="788" t="s">
        <v>81</v>
      </c>
      <c r="F1" s="788" t="s">
        <v>77</v>
      </c>
      <c r="G1" s="788" t="s">
        <v>76</v>
      </c>
      <c r="H1" s="789" t="s">
        <v>84</v>
      </c>
      <c r="I1" s="788" t="s">
        <v>85</v>
      </c>
      <c r="J1" s="788" t="s">
        <v>322</v>
      </c>
      <c r="K1" s="788" t="s">
        <v>220</v>
      </c>
      <c r="L1" s="788" t="s">
        <v>1125</v>
      </c>
      <c r="M1" s="790"/>
    </row>
    <row r="2" spans="1:13">
      <c r="A2" s="1014"/>
      <c r="B2" s="1014" t="s">
        <v>3086</v>
      </c>
      <c r="C2" s="1014" t="s">
        <v>5</v>
      </c>
      <c r="D2" s="1014" t="s">
        <v>1079</v>
      </c>
      <c r="E2" s="1014" t="s">
        <v>7</v>
      </c>
      <c r="F2" s="1014">
        <v>-6.1785699999999997</v>
      </c>
      <c r="G2" s="1014">
        <v>106.7169</v>
      </c>
      <c r="H2" s="346" t="s">
        <v>314</v>
      </c>
      <c r="I2" s="346">
        <v>106.71671000000001</v>
      </c>
      <c r="J2" s="346">
        <v>-6.1786099999999999</v>
      </c>
      <c r="K2" s="346">
        <v>20</v>
      </c>
      <c r="L2" s="346"/>
      <c r="M2" s="346"/>
    </row>
    <row r="3" spans="1:13">
      <c r="A3" s="1014"/>
      <c r="B3" s="1014"/>
      <c r="C3" s="1014"/>
      <c r="D3" s="1014"/>
      <c r="E3" s="1014"/>
      <c r="F3" s="1014"/>
      <c r="G3" s="1014"/>
      <c r="H3" s="346" t="s">
        <v>179</v>
      </c>
      <c r="I3" s="346">
        <v>106.71732</v>
      </c>
      <c r="J3" s="346">
        <v>-6.1787000000000001</v>
      </c>
      <c r="K3" s="346">
        <v>20</v>
      </c>
      <c r="L3" s="346"/>
      <c r="M3" s="346"/>
    </row>
    <row r="4" spans="1:13">
      <c r="A4" s="1014"/>
      <c r="B4" s="1014"/>
      <c r="C4" s="1014"/>
      <c r="D4" s="1014"/>
      <c r="E4" s="1014"/>
      <c r="F4" s="1014"/>
      <c r="G4" s="1014"/>
      <c r="H4" s="346" t="s">
        <v>178</v>
      </c>
      <c r="I4" s="346">
        <v>106.71616</v>
      </c>
      <c r="J4" s="346">
        <v>-6.17788</v>
      </c>
      <c r="K4" s="346">
        <v>20</v>
      </c>
      <c r="L4" s="346"/>
      <c r="M4" s="346"/>
    </row>
    <row r="5" spans="1:13">
      <c r="A5" s="1014"/>
      <c r="B5" s="1014"/>
      <c r="C5" s="1014"/>
      <c r="D5" s="1014"/>
      <c r="E5" s="1014"/>
      <c r="F5" s="1014"/>
      <c r="G5" s="1014"/>
      <c r="H5" s="346" t="s">
        <v>323</v>
      </c>
      <c r="I5" s="346">
        <v>106.7157</v>
      </c>
      <c r="J5" s="346">
        <v>-6.17821</v>
      </c>
      <c r="K5" s="346">
        <v>20</v>
      </c>
      <c r="L5" s="346"/>
      <c r="M5" s="346"/>
    </row>
    <row r="6" spans="1:13">
      <c r="A6" s="1014"/>
      <c r="B6" s="1014"/>
      <c r="C6" s="1014"/>
      <c r="D6" s="1014"/>
      <c r="E6" s="1014"/>
      <c r="F6" s="1014"/>
      <c r="G6" s="1014"/>
      <c r="H6" s="346" t="s">
        <v>2015</v>
      </c>
      <c r="I6" s="346">
        <v>106.71559999999999</v>
      </c>
      <c r="J6" s="346">
        <v>-6.1779000000000002</v>
      </c>
      <c r="K6" s="346">
        <v>20</v>
      </c>
      <c r="L6" s="346"/>
      <c r="M6" s="346"/>
    </row>
    <row r="7" spans="1:13">
      <c r="A7" s="1014" t="s">
        <v>2163</v>
      </c>
      <c r="B7" s="1014" t="s">
        <v>2161</v>
      </c>
      <c r="C7" s="1014" t="s">
        <v>11</v>
      </c>
      <c r="D7" s="1014" t="s">
        <v>12</v>
      </c>
      <c r="E7" s="1014" t="s">
        <v>13</v>
      </c>
      <c r="F7" s="1014">
        <v>-6.9031414299999998</v>
      </c>
      <c r="G7" s="1014">
        <v>106.8934941</v>
      </c>
      <c r="H7" s="346" t="s">
        <v>1978</v>
      </c>
      <c r="I7" s="346">
        <v>106.89324999999999</v>
      </c>
      <c r="J7" s="346">
        <v>-6.9027000000000003</v>
      </c>
      <c r="K7" s="346">
        <v>52</v>
      </c>
      <c r="L7" s="346"/>
      <c r="M7" s="346"/>
    </row>
    <row r="8" spans="1:13">
      <c r="A8" s="1014"/>
      <c r="B8" s="1014"/>
      <c r="C8" s="1014"/>
      <c r="D8" s="1014"/>
      <c r="E8" s="1014"/>
      <c r="F8" s="1014"/>
      <c r="G8" s="1014"/>
      <c r="H8" s="346" t="s">
        <v>1975</v>
      </c>
      <c r="I8" s="346">
        <v>106.89368</v>
      </c>
      <c r="J8" s="346">
        <v>-6.9019199999999996</v>
      </c>
      <c r="K8" s="346">
        <v>52</v>
      </c>
      <c r="L8" s="346"/>
      <c r="M8" s="346"/>
    </row>
    <row r="9" spans="1:13">
      <c r="A9" s="1014"/>
      <c r="B9" s="1014"/>
      <c r="C9" s="1014"/>
      <c r="D9" s="1014"/>
      <c r="E9" s="1014"/>
      <c r="F9" s="1014"/>
      <c r="G9" s="1014"/>
      <c r="H9" s="346" t="s">
        <v>2162</v>
      </c>
      <c r="I9" s="346">
        <v>106.89327</v>
      </c>
      <c r="J9" s="346">
        <v>-6.90022</v>
      </c>
      <c r="K9" s="346">
        <v>52</v>
      </c>
      <c r="L9" s="346"/>
      <c r="M9" s="346"/>
    </row>
    <row r="10" spans="1:13">
      <c r="A10" s="1014" t="s">
        <v>2206</v>
      </c>
      <c r="B10" s="1014" t="s">
        <v>2200</v>
      </c>
      <c r="C10" s="1014" t="s">
        <v>11</v>
      </c>
      <c r="D10" s="1014" t="s">
        <v>2212</v>
      </c>
      <c r="E10" s="1014" t="s">
        <v>20</v>
      </c>
      <c r="F10" s="1018">
        <v>-6.3439949999999996</v>
      </c>
      <c r="G10" s="1014">
        <v>106.38078899999999</v>
      </c>
      <c r="H10" s="346" t="s">
        <v>1978</v>
      </c>
      <c r="I10" s="346">
        <v>106.38037</v>
      </c>
      <c r="J10" s="346">
        <v>-6.3446499999999997</v>
      </c>
      <c r="K10" s="346">
        <v>52</v>
      </c>
      <c r="L10" s="346" t="s">
        <v>2089</v>
      </c>
      <c r="M10" s="346"/>
    </row>
    <row r="11" spans="1:13">
      <c r="A11" s="1014"/>
      <c r="B11" s="1014"/>
      <c r="C11" s="1014"/>
      <c r="D11" s="1014"/>
      <c r="E11" s="1014"/>
      <c r="F11" s="1018"/>
      <c r="G11" s="1014"/>
      <c r="H11" s="346" t="s">
        <v>1975</v>
      </c>
      <c r="I11" s="346">
        <v>106.37975</v>
      </c>
      <c r="J11" s="346">
        <v>-6.3455300000000001</v>
      </c>
      <c r="K11" s="346">
        <v>52</v>
      </c>
      <c r="L11" s="346" t="s">
        <v>1098</v>
      </c>
      <c r="M11" s="346"/>
    </row>
    <row r="12" spans="1:13">
      <c r="A12" s="1014" t="s">
        <v>2207</v>
      </c>
      <c r="B12" s="1014" t="s">
        <v>2201</v>
      </c>
      <c r="C12" s="1014" t="s">
        <v>11</v>
      </c>
      <c r="D12" s="1014" t="s">
        <v>26</v>
      </c>
      <c r="E12" s="1014" t="s">
        <v>13</v>
      </c>
      <c r="F12" s="1014">
        <v>-6.3439949999999996</v>
      </c>
      <c r="G12" s="1014">
        <v>106.38078899999999</v>
      </c>
      <c r="H12" s="346" t="s">
        <v>1978</v>
      </c>
      <c r="I12" s="346">
        <v>106.542109</v>
      </c>
      <c r="J12" s="346">
        <v>-6.6297920000000001</v>
      </c>
      <c r="K12" s="346">
        <v>52</v>
      </c>
      <c r="L12" s="346" t="s">
        <v>3087</v>
      </c>
      <c r="M12" s="346"/>
    </row>
    <row r="13" spans="1:13">
      <c r="A13" s="1014"/>
      <c r="B13" s="1014"/>
      <c r="C13" s="1014"/>
      <c r="D13" s="1014"/>
      <c r="E13" s="1014"/>
      <c r="F13" s="1014"/>
      <c r="G13" s="1014"/>
      <c r="H13" s="346" t="s">
        <v>1975</v>
      </c>
      <c r="I13" s="346">
        <v>106.54192</v>
      </c>
      <c r="J13" s="346">
        <v>-6.6289300000000004</v>
      </c>
      <c r="K13" s="346">
        <v>52</v>
      </c>
      <c r="L13" s="346" t="s">
        <v>2089</v>
      </c>
      <c r="M13" s="346"/>
    </row>
    <row r="14" spans="1:13">
      <c r="A14" s="1014"/>
      <c r="B14" s="1014"/>
      <c r="C14" s="1014"/>
      <c r="D14" s="1014"/>
      <c r="E14" s="1014"/>
      <c r="F14" s="1014"/>
      <c r="G14" s="1014"/>
      <c r="H14" s="346" t="s">
        <v>2162</v>
      </c>
      <c r="I14" s="346">
        <v>106.54164</v>
      </c>
      <c r="J14" s="346">
        <v>-6.6310700000000002</v>
      </c>
      <c r="K14" s="346">
        <v>52</v>
      </c>
      <c r="L14" s="346" t="s">
        <v>3088</v>
      </c>
      <c r="M14" s="346"/>
    </row>
    <row r="15" spans="1:13">
      <c r="A15" s="1014"/>
      <c r="B15" s="1014"/>
      <c r="C15" s="1014"/>
      <c r="D15" s="1014"/>
      <c r="E15" s="1014"/>
      <c r="F15" s="1014"/>
      <c r="G15" s="1014"/>
      <c r="H15" s="346" t="s">
        <v>2295</v>
      </c>
      <c r="I15" s="346">
        <v>106.54293</v>
      </c>
      <c r="J15" s="346">
        <v>-6.6282300000000003</v>
      </c>
      <c r="K15" s="346">
        <v>52</v>
      </c>
      <c r="L15" s="346" t="s">
        <v>2089</v>
      </c>
      <c r="M15" s="346"/>
    </row>
    <row r="16" spans="1:13">
      <c r="A16" s="1014"/>
      <c r="B16" s="1014"/>
      <c r="C16" s="1014"/>
      <c r="D16" s="1014"/>
      <c r="E16" s="1014"/>
      <c r="F16" s="1014"/>
      <c r="G16" s="1014"/>
      <c r="H16" s="346" t="s">
        <v>2066</v>
      </c>
      <c r="I16" s="346">
        <v>106.54337</v>
      </c>
      <c r="J16" s="346">
        <v>-6.62758</v>
      </c>
      <c r="K16" s="346">
        <v>52</v>
      </c>
      <c r="L16" s="346" t="s">
        <v>3089</v>
      </c>
      <c r="M16" s="346"/>
    </row>
    <row r="17" spans="1:13">
      <c r="A17" s="1014"/>
      <c r="B17" s="1014"/>
      <c r="C17" s="1014"/>
      <c r="D17" s="1014"/>
      <c r="E17" s="1014"/>
      <c r="F17" s="1014"/>
      <c r="G17" s="1014"/>
      <c r="H17" s="346" t="s">
        <v>2059</v>
      </c>
      <c r="I17" s="346">
        <v>106.54053</v>
      </c>
      <c r="J17" s="346">
        <v>-6.6289100000000003</v>
      </c>
      <c r="K17" s="346">
        <v>52</v>
      </c>
      <c r="L17" s="346" t="s">
        <v>3090</v>
      </c>
      <c r="M17" s="346"/>
    </row>
    <row r="18" spans="1:13">
      <c r="A18" s="1014"/>
      <c r="B18" s="1014"/>
      <c r="C18" s="1014"/>
      <c r="D18" s="1014"/>
      <c r="E18" s="1014"/>
      <c r="F18" s="1014"/>
      <c r="G18" s="1014"/>
      <c r="H18" s="346" t="s">
        <v>2338</v>
      </c>
      <c r="I18" s="346">
        <v>106.54255999999999</v>
      </c>
      <c r="J18" s="346">
        <v>-6.6285100000000003</v>
      </c>
      <c r="K18" s="346">
        <v>52</v>
      </c>
      <c r="L18" s="346" t="s">
        <v>3091</v>
      </c>
      <c r="M18" s="346"/>
    </row>
    <row r="19" spans="1:13">
      <c r="A19" s="1014" t="s">
        <v>2210</v>
      </c>
      <c r="B19" s="1017" t="s">
        <v>2204</v>
      </c>
      <c r="C19" s="1014" t="s">
        <v>11</v>
      </c>
      <c r="D19" s="1014" t="s">
        <v>772</v>
      </c>
      <c r="E19" s="1014" t="s">
        <v>20</v>
      </c>
      <c r="F19" s="1014">
        <v>-6.2237</v>
      </c>
      <c r="G19" s="1014">
        <v>106.3456</v>
      </c>
      <c r="H19" s="346" t="s">
        <v>1978</v>
      </c>
      <c r="I19" s="346">
        <v>106.34509</v>
      </c>
      <c r="J19" s="346">
        <v>-6.2235899999999997</v>
      </c>
      <c r="K19" s="346">
        <v>42</v>
      </c>
      <c r="L19" s="346"/>
      <c r="M19" s="346"/>
    </row>
    <row r="20" spans="1:13">
      <c r="A20" s="1014"/>
      <c r="B20" s="1017"/>
      <c r="C20" s="1014"/>
      <c r="D20" s="1014"/>
      <c r="E20" s="1014"/>
      <c r="F20" s="1014"/>
      <c r="G20" s="1014"/>
      <c r="H20" s="346" t="s">
        <v>1975</v>
      </c>
      <c r="I20" s="346">
        <v>106.34696</v>
      </c>
      <c r="J20" s="346">
        <v>-6.2222900000000001</v>
      </c>
      <c r="K20" s="346">
        <v>42</v>
      </c>
      <c r="L20" s="346"/>
      <c r="M20" s="346"/>
    </row>
    <row r="21" spans="1:13">
      <c r="A21" s="1014" t="s">
        <v>2208</v>
      </c>
      <c r="B21" s="1017" t="s">
        <v>2202</v>
      </c>
      <c r="C21" s="1014" t="s">
        <v>5</v>
      </c>
      <c r="D21" s="1014" t="s">
        <v>21</v>
      </c>
      <c r="E21" s="1014" t="s">
        <v>20</v>
      </c>
      <c r="F21" s="1018">
        <v>-6.1510199999999999</v>
      </c>
      <c r="G21" s="1014">
        <v>106.63245999999999</v>
      </c>
      <c r="H21" s="346" t="s">
        <v>1978</v>
      </c>
      <c r="I21" s="346">
        <v>106.635581</v>
      </c>
      <c r="J21" s="346">
        <v>-6.1519599999999999</v>
      </c>
      <c r="K21" s="791" t="s">
        <v>3092</v>
      </c>
      <c r="L21" s="346" t="s">
        <v>3093</v>
      </c>
      <c r="M21" s="346"/>
    </row>
    <row r="22" spans="1:13">
      <c r="A22" s="1014"/>
      <c r="B22" s="1017"/>
      <c r="C22" s="1014"/>
      <c r="D22" s="1014"/>
      <c r="E22" s="1014"/>
      <c r="F22" s="1018"/>
      <c r="G22" s="1014"/>
      <c r="H22" s="346" t="s">
        <v>1975</v>
      </c>
      <c r="I22" s="346">
        <v>106.63217</v>
      </c>
      <c r="J22" s="792">
        <v>-6.1509</v>
      </c>
      <c r="K22" s="791" t="s">
        <v>1569</v>
      </c>
      <c r="L22" s="346" t="s">
        <v>3094</v>
      </c>
      <c r="M22" s="346"/>
    </row>
    <row r="23" spans="1:13">
      <c r="A23" s="1014"/>
      <c r="B23" s="1017"/>
      <c r="C23" s="1014"/>
      <c r="D23" s="1014"/>
      <c r="E23" s="1014"/>
      <c r="F23" s="1018"/>
      <c r="G23" s="1014"/>
      <c r="H23" s="346" t="s">
        <v>2162</v>
      </c>
      <c r="I23" s="792">
        <v>106.63213</v>
      </c>
      <c r="J23" s="792">
        <v>-6.1526899999999998</v>
      </c>
      <c r="K23" s="791" t="s">
        <v>3095</v>
      </c>
      <c r="L23" s="346" t="s">
        <v>3096</v>
      </c>
      <c r="M23" s="346"/>
    </row>
    <row r="24" spans="1:13">
      <c r="A24" s="1014"/>
      <c r="B24" s="1017"/>
      <c r="C24" s="1014"/>
      <c r="D24" s="1014"/>
      <c r="E24" s="1014"/>
      <c r="F24" s="1018"/>
      <c r="G24" s="1014"/>
      <c r="H24" s="346" t="s">
        <v>2295</v>
      </c>
      <c r="I24" s="792">
        <v>106.63236000000001</v>
      </c>
      <c r="J24" s="792">
        <v>-6.1525299999999996</v>
      </c>
      <c r="K24" s="791" t="s">
        <v>3097</v>
      </c>
      <c r="L24" s="346" t="s">
        <v>3091</v>
      </c>
      <c r="M24" s="346"/>
    </row>
    <row r="25" spans="1:13">
      <c r="A25" s="1014" t="s">
        <v>2209</v>
      </c>
      <c r="B25" s="1017" t="s">
        <v>2203</v>
      </c>
      <c r="C25" s="1014" t="s">
        <v>5</v>
      </c>
      <c r="D25" s="1014" t="s">
        <v>21</v>
      </c>
      <c r="E25" s="1014" t="s">
        <v>20</v>
      </c>
      <c r="F25" s="1018">
        <v>-6.1895300000000004</v>
      </c>
      <c r="G25" s="1014">
        <v>106.57008500000001</v>
      </c>
      <c r="H25" s="346" t="s">
        <v>1978</v>
      </c>
      <c r="I25" s="346">
        <v>106.56977000000001</v>
      </c>
      <c r="J25" s="346">
        <v>-6.1893500000000001</v>
      </c>
      <c r="K25" s="346">
        <v>20</v>
      </c>
      <c r="L25" s="346"/>
      <c r="M25" s="346"/>
    </row>
    <row r="26" spans="1:13">
      <c r="A26" s="1014"/>
      <c r="B26" s="1017"/>
      <c r="C26" s="1014"/>
      <c r="D26" s="1014"/>
      <c r="E26" s="1014"/>
      <c r="F26" s="1018"/>
      <c r="G26" s="1014"/>
      <c r="H26" s="346" t="s">
        <v>1975</v>
      </c>
      <c r="I26" s="346">
        <v>106.56977000000001</v>
      </c>
      <c r="J26" s="346">
        <v>-6.1893500000000001</v>
      </c>
      <c r="K26" s="346">
        <v>20</v>
      </c>
      <c r="L26" s="346"/>
      <c r="M26" s="346"/>
    </row>
    <row r="27" spans="1:13">
      <c r="A27" s="1014" t="s">
        <v>2205</v>
      </c>
      <c r="B27" s="1017" t="s">
        <v>2199</v>
      </c>
      <c r="C27" s="1014" t="s">
        <v>11</v>
      </c>
      <c r="D27" s="1014" t="s">
        <v>19</v>
      </c>
      <c r="E27" s="1014" t="s">
        <v>20</v>
      </c>
      <c r="F27" s="1018">
        <v>-6.2392390000000004</v>
      </c>
      <c r="G27" s="1014">
        <v>106.60208</v>
      </c>
      <c r="H27" s="346" t="s">
        <v>1978</v>
      </c>
      <c r="I27" s="346">
        <v>106.60391</v>
      </c>
      <c r="J27" s="346">
        <v>-6.2402899999999999</v>
      </c>
      <c r="K27" s="346">
        <v>25</v>
      </c>
      <c r="L27" s="346" t="s">
        <v>3098</v>
      </c>
      <c r="M27" s="346"/>
    </row>
    <row r="28" spans="1:13">
      <c r="A28" s="1014"/>
      <c r="B28" s="1017"/>
      <c r="C28" s="1014"/>
      <c r="D28" s="1014"/>
      <c r="E28" s="1014"/>
      <c r="F28" s="1018"/>
      <c r="G28" s="1014"/>
      <c r="H28" s="346" t="s">
        <v>1975</v>
      </c>
      <c r="I28" s="793">
        <v>106.60124</v>
      </c>
      <c r="J28" s="793">
        <v>-6.2402499999999996</v>
      </c>
      <c r="K28" s="346">
        <v>32</v>
      </c>
      <c r="L28" s="346"/>
      <c r="M28" s="346"/>
    </row>
    <row r="29" spans="1:13">
      <c r="A29" s="1014"/>
      <c r="B29" s="1017"/>
      <c r="C29" s="1014"/>
      <c r="D29" s="1014"/>
      <c r="E29" s="1014"/>
      <c r="F29" s="1018"/>
      <c r="G29" s="1014"/>
      <c r="H29" s="346" t="s">
        <v>2162</v>
      </c>
      <c r="I29" s="793">
        <v>106.60787000000001</v>
      </c>
      <c r="J29" s="793">
        <v>-6.2418699999999996</v>
      </c>
      <c r="K29" s="346">
        <v>42</v>
      </c>
      <c r="L29" s="346"/>
      <c r="M29" s="346"/>
    </row>
    <row r="30" spans="1:13">
      <c r="A30" s="1014"/>
      <c r="B30" s="1017"/>
      <c r="C30" s="1014"/>
      <c r="D30" s="1014"/>
      <c r="E30" s="1014"/>
      <c r="F30" s="1018"/>
      <c r="G30" s="1014"/>
      <c r="H30" s="346" t="s">
        <v>2295</v>
      </c>
      <c r="I30" s="346">
        <v>106.60701</v>
      </c>
      <c r="J30" s="346">
        <v>-6.2424799999999996</v>
      </c>
      <c r="K30" s="346">
        <v>42</v>
      </c>
      <c r="L30" s="346"/>
      <c r="M30" s="346"/>
    </row>
    <row r="31" spans="1:13">
      <c r="A31" s="1014" t="s">
        <v>2275</v>
      </c>
      <c r="B31" s="1014" t="s">
        <v>2276</v>
      </c>
      <c r="C31" s="1014" t="s">
        <v>5</v>
      </c>
      <c r="D31" s="1014" t="s">
        <v>2287</v>
      </c>
      <c r="E31" s="1014" t="s">
        <v>7</v>
      </c>
      <c r="F31" s="1014">
        <v>-6.1204499999999999</v>
      </c>
      <c r="G31" s="1014">
        <v>106.71454</v>
      </c>
      <c r="H31" s="346" t="s">
        <v>1978</v>
      </c>
      <c r="I31" s="346">
        <v>106.71541000000001</v>
      </c>
      <c r="J31" s="346">
        <v>-6.1202899999999998</v>
      </c>
      <c r="K31" s="346" t="s">
        <v>1020</v>
      </c>
      <c r="L31" s="346" t="s">
        <v>3099</v>
      </c>
      <c r="M31" s="346"/>
    </row>
    <row r="32" spans="1:13">
      <c r="A32" s="1014"/>
      <c r="B32" s="1014"/>
      <c r="C32" s="1014"/>
      <c r="D32" s="1014"/>
      <c r="E32" s="1014"/>
      <c r="F32" s="1014"/>
      <c r="G32" s="1014"/>
      <c r="H32" s="346" t="s">
        <v>1975</v>
      </c>
      <c r="I32" s="346">
        <v>106.71442999999999</v>
      </c>
      <c r="J32" s="346">
        <v>-6.1203799999999999</v>
      </c>
      <c r="K32" s="346" t="s">
        <v>2432</v>
      </c>
      <c r="L32" s="346" t="s">
        <v>3100</v>
      </c>
      <c r="M32" s="346"/>
    </row>
    <row r="33" spans="1:13">
      <c r="A33" s="1014"/>
      <c r="B33" s="1014"/>
      <c r="C33" s="1014"/>
      <c r="D33" s="1014"/>
      <c r="E33" s="1014"/>
      <c r="F33" s="1014"/>
      <c r="G33" s="1014"/>
      <c r="H33" s="346" t="s">
        <v>2162</v>
      </c>
      <c r="I33" s="346">
        <v>106.71552</v>
      </c>
      <c r="J33" s="346">
        <v>-6.1196000000000002</v>
      </c>
      <c r="K33" s="346" t="s">
        <v>2432</v>
      </c>
      <c r="L33" s="346" t="s">
        <v>3101</v>
      </c>
      <c r="M33" s="346"/>
    </row>
    <row r="34" spans="1:13">
      <c r="A34" s="1014"/>
      <c r="B34" s="1014"/>
      <c r="C34" s="1014"/>
      <c r="D34" s="1014"/>
      <c r="E34" s="1014"/>
      <c r="F34" s="1014"/>
      <c r="G34" s="1014"/>
      <c r="H34" s="346" t="s">
        <v>2295</v>
      </c>
      <c r="I34" s="346">
        <v>106.71268999999999</v>
      </c>
      <c r="J34" s="346">
        <v>-6.1216100000000004</v>
      </c>
      <c r="K34" s="346" t="s">
        <v>2432</v>
      </c>
      <c r="L34" s="346" t="s">
        <v>1098</v>
      </c>
      <c r="M34" s="346" t="s">
        <v>3102</v>
      </c>
    </row>
    <row r="35" spans="1:13">
      <c r="A35" s="346" t="s">
        <v>2277</v>
      </c>
      <c r="B35" s="346" t="s">
        <v>2278</v>
      </c>
      <c r="C35" s="346" t="s">
        <v>5</v>
      </c>
      <c r="D35" s="346" t="s">
        <v>2287</v>
      </c>
      <c r="E35" s="346" t="s">
        <v>7</v>
      </c>
      <c r="F35" s="346">
        <v>-6.16317</v>
      </c>
      <c r="G35" s="346">
        <v>106.69985200000001</v>
      </c>
      <c r="H35" s="346" t="s">
        <v>1978</v>
      </c>
      <c r="I35" s="346">
        <v>106.69977</v>
      </c>
      <c r="J35" s="346">
        <v>-6.1632699999999998</v>
      </c>
      <c r="K35" s="346" t="s">
        <v>1297</v>
      </c>
      <c r="L35" s="346" t="s">
        <v>3103</v>
      </c>
      <c r="M35" s="346"/>
    </row>
    <row r="36" spans="1:13">
      <c r="A36" s="1014" t="s">
        <v>2279</v>
      </c>
      <c r="B36" s="1014" t="s">
        <v>2280</v>
      </c>
      <c r="C36" s="1014" t="s">
        <v>5</v>
      </c>
      <c r="D36" s="1014" t="s">
        <v>2288</v>
      </c>
      <c r="E36" s="1014" t="s">
        <v>7</v>
      </c>
      <c r="F36" s="346">
        <v>-6.3513450000000002</v>
      </c>
      <c r="G36" s="346">
        <v>106.906791</v>
      </c>
      <c r="H36" s="346" t="s">
        <v>1978</v>
      </c>
      <c r="I36" s="346">
        <v>106.90732</v>
      </c>
      <c r="J36" s="346">
        <v>-6.3500399999999999</v>
      </c>
      <c r="K36" s="346" t="s">
        <v>1297</v>
      </c>
      <c r="L36" s="346" t="s">
        <v>3099</v>
      </c>
      <c r="M36" s="346"/>
    </row>
    <row r="37" spans="1:13">
      <c r="A37" s="1014"/>
      <c r="B37" s="1014"/>
      <c r="C37" s="1014"/>
      <c r="D37" s="1014"/>
      <c r="E37" s="1014"/>
      <c r="F37" s="346">
        <v>-6.3513450000000002</v>
      </c>
      <c r="G37" s="346">
        <v>106.906791</v>
      </c>
      <c r="H37" s="346" t="s">
        <v>1975</v>
      </c>
      <c r="I37" s="346">
        <v>106.90709</v>
      </c>
      <c r="J37" s="346">
        <v>-6.3516399999999997</v>
      </c>
      <c r="K37" s="346"/>
      <c r="L37" s="346"/>
      <c r="M37" s="346"/>
    </row>
    <row r="38" spans="1:13">
      <c r="A38" s="1014" t="s">
        <v>2281</v>
      </c>
      <c r="B38" s="1014" t="s">
        <v>2282</v>
      </c>
      <c r="C38" s="1014" t="s">
        <v>11</v>
      </c>
      <c r="D38" s="1014" t="s">
        <v>19</v>
      </c>
      <c r="E38" s="1014" t="s">
        <v>20</v>
      </c>
      <c r="F38" s="1014">
        <v>-6.1935739999999999</v>
      </c>
      <c r="G38" s="1014">
        <v>106.49882100000001</v>
      </c>
      <c r="H38" s="346" t="s">
        <v>1978</v>
      </c>
      <c r="I38" s="346">
        <v>106.49867</v>
      </c>
      <c r="J38" s="346">
        <v>-6.1935700000000002</v>
      </c>
      <c r="K38" s="346" t="s">
        <v>3104</v>
      </c>
      <c r="L38" s="346" t="s">
        <v>3105</v>
      </c>
      <c r="M38" s="346"/>
    </row>
    <row r="39" spans="1:13">
      <c r="A39" s="1014"/>
      <c r="B39" s="1014"/>
      <c r="C39" s="1014"/>
      <c r="D39" s="1014"/>
      <c r="E39" s="1014"/>
      <c r="F39" s="1014"/>
      <c r="G39" s="1014"/>
      <c r="H39" s="346" t="s">
        <v>1975</v>
      </c>
      <c r="I39" s="346">
        <v>106.49842</v>
      </c>
      <c r="J39" s="346">
        <v>-6.1940099999999996</v>
      </c>
      <c r="K39" s="346" t="s">
        <v>3106</v>
      </c>
      <c r="L39" s="346" t="s">
        <v>3107</v>
      </c>
      <c r="M39" s="346"/>
    </row>
    <row r="40" spans="1:13">
      <c r="A40" s="1014"/>
      <c r="B40" s="1014"/>
      <c r="C40" s="1014"/>
      <c r="D40" s="1014"/>
      <c r="E40" s="1014"/>
      <c r="F40" s="1014"/>
      <c r="G40" s="1014"/>
      <c r="H40" s="346" t="s">
        <v>2162</v>
      </c>
      <c r="I40" s="346">
        <v>106.49802</v>
      </c>
      <c r="J40" s="346">
        <v>-6.1937199999999999</v>
      </c>
      <c r="K40" s="346" t="s">
        <v>3104</v>
      </c>
      <c r="L40" s="346" t="s">
        <v>3108</v>
      </c>
      <c r="M40" s="346"/>
    </row>
    <row r="41" spans="1:13">
      <c r="A41" s="1014"/>
      <c r="B41" s="1014"/>
      <c r="C41" s="1014"/>
      <c r="D41" s="1014"/>
      <c r="E41" s="1014"/>
      <c r="F41" s="1014"/>
      <c r="G41" s="1014"/>
      <c r="H41" s="346" t="s">
        <v>2295</v>
      </c>
      <c r="I41" s="346">
        <v>106.49916</v>
      </c>
      <c r="J41" s="346">
        <v>-6.1957800000000001</v>
      </c>
      <c r="K41" s="346" t="s">
        <v>1208</v>
      </c>
      <c r="L41" s="346" t="s">
        <v>2342</v>
      </c>
      <c r="M41" s="346"/>
    </row>
    <row r="42" spans="1:13">
      <c r="A42" s="1014"/>
      <c r="B42" s="1014"/>
      <c r="C42" s="1014"/>
      <c r="D42" s="1014"/>
      <c r="E42" s="1014"/>
      <c r="F42" s="1014"/>
      <c r="G42" s="1014"/>
      <c r="H42" s="346" t="s">
        <v>2066</v>
      </c>
      <c r="I42" s="346">
        <v>106.49536000000001</v>
      </c>
      <c r="J42" s="346">
        <v>-6.1940600000000003</v>
      </c>
      <c r="K42" s="346" t="s">
        <v>1208</v>
      </c>
      <c r="L42" s="346" t="s">
        <v>2342</v>
      </c>
      <c r="M42" s="346"/>
    </row>
    <row r="43" spans="1:13">
      <c r="A43" s="1014"/>
      <c r="B43" s="1014"/>
      <c r="C43" s="1014"/>
      <c r="D43" s="1014"/>
      <c r="E43" s="1014"/>
      <c r="F43" s="1014"/>
      <c r="G43" s="1014"/>
      <c r="H43" s="346" t="s">
        <v>2059</v>
      </c>
      <c r="I43" s="346">
        <v>106.49918</v>
      </c>
      <c r="J43" s="346">
        <v>-6.19381</v>
      </c>
      <c r="K43" s="346" t="s">
        <v>3109</v>
      </c>
      <c r="L43" s="346" t="s">
        <v>3110</v>
      </c>
      <c r="M43" s="346"/>
    </row>
    <row r="44" spans="1:13">
      <c r="A44" s="1014"/>
      <c r="B44" s="1014"/>
      <c r="C44" s="1014"/>
      <c r="D44" s="1014"/>
      <c r="E44" s="1014"/>
      <c r="F44" s="1014"/>
      <c r="G44" s="1014"/>
      <c r="H44" s="346" t="s">
        <v>2338</v>
      </c>
      <c r="I44" s="346">
        <v>106.49706999999999</v>
      </c>
      <c r="J44" s="346">
        <v>-6.1937699999999998</v>
      </c>
      <c r="K44" s="346" t="s">
        <v>3109</v>
      </c>
      <c r="L44" s="346" t="s">
        <v>3091</v>
      </c>
      <c r="M44" s="346"/>
    </row>
    <row r="45" spans="1:13">
      <c r="A45" s="1014" t="s">
        <v>2283</v>
      </c>
      <c r="B45" s="1014" t="s">
        <v>2284</v>
      </c>
      <c r="C45" s="1014" t="s">
        <v>11</v>
      </c>
      <c r="D45" s="1014" t="s">
        <v>1350</v>
      </c>
      <c r="E45" s="1014" t="s">
        <v>20</v>
      </c>
      <c r="F45" s="1014">
        <v>-6.3538569999999996</v>
      </c>
      <c r="G45" s="1014">
        <v>106.70213699999999</v>
      </c>
      <c r="H45" s="346" t="s">
        <v>1978</v>
      </c>
      <c r="I45" s="346">
        <v>106.70237</v>
      </c>
      <c r="J45" s="346">
        <v>-6.3540900000000002</v>
      </c>
      <c r="K45" s="346" t="s">
        <v>3111</v>
      </c>
      <c r="L45" s="346" t="s">
        <v>3093</v>
      </c>
      <c r="M45" s="346"/>
    </row>
    <row r="46" spans="1:13">
      <c r="A46" s="1014"/>
      <c r="B46" s="1014"/>
      <c r="C46" s="1014"/>
      <c r="D46" s="1014"/>
      <c r="E46" s="1014"/>
      <c r="F46" s="1014"/>
      <c r="G46" s="1014"/>
      <c r="H46" s="346" t="s">
        <v>1975</v>
      </c>
      <c r="I46" s="346">
        <v>106.70237</v>
      </c>
      <c r="J46" s="346">
        <v>-6.3540900000000002</v>
      </c>
      <c r="K46" s="346" t="s">
        <v>3097</v>
      </c>
      <c r="L46" s="346" t="s">
        <v>3091</v>
      </c>
      <c r="M46" s="346"/>
    </row>
    <row r="47" spans="1:13">
      <c r="A47" s="1014" t="s">
        <v>2285</v>
      </c>
      <c r="B47" s="1014" t="s">
        <v>2286</v>
      </c>
      <c r="C47" s="1014" t="s">
        <v>11</v>
      </c>
      <c r="D47" s="1014" t="s">
        <v>12</v>
      </c>
      <c r="E47" s="1015" t="s">
        <v>13</v>
      </c>
      <c r="F47" s="1014">
        <v>-6.8956999999999997</v>
      </c>
      <c r="G47" s="1014">
        <v>106.94970000000001</v>
      </c>
      <c r="H47" s="346" t="s">
        <v>1978</v>
      </c>
      <c r="I47" s="346">
        <v>106.95039</v>
      </c>
      <c r="J47" s="346">
        <v>-6.8956600000000003</v>
      </c>
      <c r="K47" s="346" t="s">
        <v>1205</v>
      </c>
      <c r="L47" s="346"/>
      <c r="M47" s="346"/>
    </row>
    <row r="48" spans="1:13">
      <c r="A48" s="1014"/>
      <c r="B48" s="1014"/>
      <c r="C48" s="1014"/>
      <c r="D48" s="1014"/>
      <c r="E48" s="1015"/>
      <c r="F48" s="1014"/>
      <c r="G48" s="1014"/>
      <c r="H48" s="346" t="s">
        <v>1975</v>
      </c>
      <c r="I48" s="346">
        <v>106.94982</v>
      </c>
      <c r="J48" s="346">
        <v>-6.8964699999999999</v>
      </c>
      <c r="K48" s="346" t="s">
        <v>1205</v>
      </c>
      <c r="L48" s="346"/>
      <c r="M48" s="346"/>
    </row>
    <row r="49" spans="1:13">
      <c r="A49" s="1014"/>
      <c r="B49" s="1014"/>
      <c r="C49" s="1014"/>
      <c r="D49" s="1014"/>
      <c r="E49" s="1015"/>
      <c r="F49" s="1014"/>
      <c r="G49" s="1014"/>
      <c r="H49" s="346" t="s">
        <v>2162</v>
      </c>
      <c r="I49" s="346">
        <v>106.94941</v>
      </c>
      <c r="J49" s="346">
        <v>-6.8980699999999997</v>
      </c>
      <c r="K49" s="346" t="s">
        <v>2192</v>
      </c>
      <c r="L49" s="346"/>
      <c r="M49" s="346"/>
    </row>
    <row r="50" spans="1:13">
      <c r="A50" s="1014"/>
      <c r="B50" s="1014"/>
      <c r="C50" s="1014"/>
      <c r="D50" s="1014"/>
      <c r="E50" s="1015"/>
      <c r="F50" s="1014"/>
      <c r="G50" s="1014"/>
      <c r="H50" s="346" t="s">
        <v>2295</v>
      </c>
      <c r="I50" s="346">
        <v>106.94812</v>
      </c>
      <c r="J50" s="346">
        <v>-6.8959900000000003</v>
      </c>
      <c r="K50" s="346" t="s">
        <v>1205</v>
      </c>
      <c r="L50" s="346" t="s">
        <v>1098</v>
      </c>
      <c r="M50" s="346"/>
    </row>
    <row r="51" spans="1:13">
      <c r="A51" s="1014" t="s">
        <v>3112</v>
      </c>
      <c r="B51" s="1014" t="s">
        <v>3113</v>
      </c>
      <c r="C51" s="1014" t="s">
        <v>11</v>
      </c>
      <c r="D51" s="1014" t="s">
        <v>12</v>
      </c>
      <c r="E51" s="1014" t="s">
        <v>13</v>
      </c>
      <c r="F51" s="1016">
        <v>-6.8796999999999997</v>
      </c>
      <c r="G51" s="1016">
        <v>106.9049</v>
      </c>
      <c r="H51" s="346" t="s">
        <v>1978</v>
      </c>
      <c r="I51" s="346">
        <v>106.90595999999999</v>
      </c>
      <c r="J51" s="346">
        <v>-6.8791599999999997</v>
      </c>
      <c r="K51" s="346" t="s">
        <v>1205</v>
      </c>
      <c r="L51" s="346" t="s">
        <v>3114</v>
      </c>
      <c r="M51" s="346"/>
    </row>
    <row r="52" spans="1:13">
      <c r="A52" s="1014"/>
      <c r="B52" s="1014"/>
      <c r="C52" s="1014"/>
      <c r="D52" s="1014"/>
      <c r="E52" s="1014"/>
      <c r="F52" s="1016"/>
      <c r="G52" s="1016"/>
      <c r="H52" s="346" t="s">
        <v>1975</v>
      </c>
      <c r="I52" s="346">
        <v>106.90553</v>
      </c>
      <c r="J52" s="346">
        <v>-6.8765700000000001</v>
      </c>
      <c r="K52" s="346" t="s">
        <v>1205</v>
      </c>
      <c r="L52" s="346" t="s">
        <v>3115</v>
      </c>
      <c r="M52" s="346"/>
    </row>
    <row r="53" spans="1:13">
      <c r="A53" s="1014"/>
      <c r="B53" s="1014"/>
      <c r="C53" s="1014"/>
      <c r="D53" s="1014"/>
      <c r="E53" s="1014"/>
      <c r="F53" s="1016"/>
      <c r="G53" s="1016"/>
      <c r="H53" s="346" t="s">
        <v>2162</v>
      </c>
      <c r="I53" s="346">
        <v>106.90298</v>
      </c>
      <c r="J53" s="346">
        <v>-6.8761299999999999</v>
      </c>
      <c r="K53" s="346" t="s">
        <v>1205</v>
      </c>
      <c r="L53" s="346" t="s">
        <v>2342</v>
      </c>
      <c r="M53" s="346"/>
    </row>
    <row r="54" spans="1:13">
      <c r="A54" s="1014"/>
      <c r="B54" s="1014"/>
      <c r="C54" s="1014"/>
      <c r="D54" s="1014"/>
      <c r="E54" s="1014"/>
      <c r="F54" s="1016"/>
      <c r="G54" s="1016"/>
      <c r="H54" s="346" t="s">
        <v>2295</v>
      </c>
      <c r="I54" s="346">
        <v>106.90524000000001</v>
      </c>
      <c r="J54" s="346">
        <v>-6.8767899999999997</v>
      </c>
      <c r="K54" s="346" t="s">
        <v>1205</v>
      </c>
      <c r="L54" s="346"/>
      <c r="M54" s="346"/>
    </row>
    <row r="55" spans="1:13">
      <c r="A55" s="1014"/>
      <c r="B55" s="1014"/>
      <c r="C55" s="1014"/>
      <c r="D55" s="1014"/>
      <c r="E55" s="1014"/>
      <c r="F55" s="1016"/>
      <c r="G55" s="1016"/>
      <c r="H55" s="346" t="s">
        <v>2066</v>
      </c>
      <c r="I55" s="346">
        <v>106.90595999999999</v>
      </c>
      <c r="J55" s="346">
        <v>-6.8791599999999997</v>
      </c>
      <c r="K55" s="346" t="s">
        <v>1205</v>
      </c>
      <c r="L55" s="346"/>
      <c r="M55" s="346"/>
    </row>
    <row r="56" spans="1:13">
      <c r="A56" s="1014"/>
      <c r="B56" s="1014"/>
      <c r="C56" s="1014"/>
      <c r="D56" s="1014"/>
      <c r="E56" s="1014"/>
      <c r="F56" s="1016"/>
      <c r="G56" s="1016"/>
      <c r="H56" s="346" t="s">
        <v>2059</v>
      </c>
      <c r="I56" s="346">
        <v>106.90788000000001</v>
      </c>
      <c r="J56" s="346">
        <v>-6.8786899999999997</v>
      </c>
      <c r="K56" s="346"/>
      <c r="L56" s="346"/>
      <c r="M56" s="346"/>
    </row>
    <row r="57" spans="1:13">
      <c r="A57" s="1014"/>
      <c r="B57" s="1014"/>
      <c r="C57" s="1014"/>
      <c r="D57" s="1014"/>
      <c r="E57" s="1014"/>
      <c r="F57" s="1016"/>
      <c r="G57" s="1016"/>
      <c r="H57" s="346" t="s">
        <v>2338</v>
      </c>
      <c r="I57" s="346">
        <v>106.90376999999999</v>
      </c>
      <c r="J57" s="346">
        <v>-6.8808499999999997</v>
      </c>
      <c r="K57" s="346"/>
      <c r="L57" s="346"/>
      <c r="M57" s="346"/>
    </row>
    <row r="58" spans="1:13">
      <c r="A58" s="1014"/>
      <c r="B58" s="1014"/>
      <c r="C58" s="1014"/>
      <c r="D58" s="1014"/>
      <c r="E58" s="1014"/>
      <c r="F58" s="1016"/>
      <c r="G58" s="1016"/>
      <c r="H58" s="346" t="s">
        <v>2462</v>
      </c>
      <c r="I58" s="346">
        <v>106.90279</v>
      </c>
      <c r="J58" s="346">
        <v>-6.8747100000000003</v>
      </c>
      <c r="K58" s="346"/>
      <c r="L58" s="346"/>
      <c r="M58" s="346"/>
    </row>
    <row r="59" spans="1:13">
      <c r="A59" s="1014"/>
      <c r="B59" s="1014"/>
      <c r="C59" s="1014"/>
      <c r="D59" s="1014"/>
      <c r="E59" s="1014"/>
      <c r="F59" s="1016"/>
      <c r="G59" s="1016"/>
      <c r="H59" s="346" t="s">
        <v>3116</v>
      </c>
      <c r="I59" s="346">
        <v>107.90327000000001</v>
      </c>
      <c r="J59" s="346">
        <v>-6.8750600000000004</v>
      </c>
      <c r="K59" s="346"/>
      <c r="L59" s="346"/>
      <c r="M59" s="346"/>
    </row>
    <row r="60" spans="1:13">
      <c r="A60" s="1014" t="s">
        <v>2387</v>
      </c>
      <c r="B60" s="1014" t="s">
        <v>2388</v>
      </c>
      <c r="C60" s="1014" t="s">
        <v>11</v>
      </c>
      <c r="D60" s="1014" t="s">
        <v>638</v>
      </c>
      <c r="E60" s="1014" t="s">
        <v>13</v>
      </c>
      <c r="F60" s="1014">
        <v>107.11405600000001</v>
      </c>
      <c r="G60" s="1015">
        <v>-6.4007399999999999</v>
      </c>
      <c r="H60" s="346" t="s">
        <v>1978</v>
      </c>
      <c r="I60" s="346">
        <v>107.11405999999999</v>
      </c>
      <c r="J60" s="346">
        <v>-6.4020799999999998</v>
      </c>
      <c r="K60" s="346" t="s">
        <v>1198</v>
      </c>
      <c r="L60" s="346" t="s">
        <v>3117</v>
      </c>
      <c r="M60" s="346"/>
    </row>
    <row r="61" spans="1:13">
      <c r="A61" s="1014"/>
      <c r="B61" s="1014"/>
      <c r="C61" s="1014"/>
      <c r="D61" s="1014"/>
      <c r="E61" s="1014"/>
      <c r="F61" s="1014"/>
      <c r="G61" s="1015"/>
      <c r="H61" s="346" t="s">
        <v>2162</v>
      </c>
      <c r="I61" s="346">
        <v>107.11452</v>
      </c>
      <c r="J61" s="346">
        <v>-6.40442</v>
      </c>
      <c r="K61" s="346" t="s">
        <v>1198</v>
      </c>
      <c r="L61" s="346" t="s">
        <v>3118</v>
      </c>
      <c r="M61" s="346"/>
    </row>
    <row r="62" spans="1:13">
      <c r="A62" s="1014"/>
      <c r="B62" s="1014"/>
      <c r="C62" s="1014"/>
      <c r="D62" s="1014"/>
      <c r="E62" s="1014"/>
      <c r="F62" s="1014"/>
      <c r="G62" s="1015"/>
      <c r="H62" s="346" t="s">
        <v>2295</v>
      </c>
      <c r="I62" s="346">
        <v>107.11443</v>
      </c>
      <c r="J62" s="346">
        <v>-6.4030899999999997</v>
      </c>
      <c r="K62" s="346" t="s">
        <v>1198</v>
      </c>
      <c r="L62" s="346" t="s">
        <v>3118</v>
      </c>
      <c r="M62" s="346"/>
    </row>
    <row r="63" spans="1:13">
      <c r="A63" s="1014" t="s">
        <v>2390</v>
      </c>
      <c r="B63" s="1014" t="s">
        <v>2391</v>
      </c>
      <c r="C63" s="1014" t="s">
        <v>5</v>
      </c>
      <c r="D63" s="1014" t="s">
        <v>21</v>
      </c>
      <c r="E63" s="1014" t="s">
        <v>20</v>
      </c>
      <c r="F63" s="1014">
        <v>106.62287000000001</v>
      </c>
      <c r="G63" s="1014">
        <v>-6.1656000000000004</v>
      </c>
      <c r="H63" s="346" t="s">
        <v>1978</v>
      </c>
      <c r="I63" s="346">
        <v>106.62786</v>
      </c>
      <c r="J63" s="346">
        <v>-6.1633199999999997</v>
      </c>
      <c r="K63" s="346" t="s">
        <v>1024</v>
      </c>
      <c r="L63" s="346" t="s">
        <v>2342</v>
      </c>
      <c r="M63" s="346"/>
    </row>
    <row r="64" spans="1:13">
      <c r="A64" s="1014"/>
      <c r="B64" s="1014"/>
      <c r="C64" s="1014"/>
      <c r="D64" s="1014"/>
      <c r="E64" s="1014"/>
      <c r="F64" s="1014"/>
      <c r="G64" s="1014"/>
      <c r="H64" s="346" t="s">
        <v>1975</v>
      </c>
      <c r="I64" s="346">
        <v>106.62672999999999</v>
      </c>
      <c r="J64" s="346">
        <v>-6.1634399999999996</v>
      </c>
      <c r="K64" s="346" t="s">
        <v>1024</v>
      </c>
      <c r="L64" s="346" t="s">
        <v>3119</v>
      </c>
      <c r="M64" s="346"/>
    </row>
    <row r="65" spans="1:13">
      <c r="A65" s="1014"/>
      <c r="B65" s="1014"/>
      <c r="C65" s="1014"/>
      <c r="D65" s="1014"/>
      <c r="E65" s="1014"/>
      <c r="F65" s="1014"/>
      <c r="G65" s="1014"/>
      <c r="H65" s="346" t="s">
        <v>2295</v>
      </c>
      <c r="I65" s="346">
        <v>106.62305000000001</v>
      </c>
      <c r="J65" s="346">
        <v>-6.1683300000000001</v>
      </c>
      <c r="K65" s="346" t="s">
        <v>1024</v>
      </c>
      <c r="L65" s="346" t="s">
        <v>1098</v>
      </c>
      <c r="M65" s="346"/>
    </row>
    <row r="66" spans="1:13">
      <c r="A66" s="1014" t="s">
        <v>2393</v>
      </c>
      <c r="B66" s="1014" t="s">
        <v>2394</v>
      </c>
      <c r="C66" s="1014" t="s">
        <v>11</v>
      </c>
      <c r="D66" s="1014" t="s">
        <v>638</v>
      </c>
      <c r="E66" s="1014" t="s">
        <v>13</v>
      </c>
      <c r="F66" s="1014">
        <v>107.077028</v>
      </c>
      <c r="G66" s="1014">
        <v>-6.4290409999999998</v>
      </c>
      <c r="H66" s="346" t="s">
        <v>1978</v>
      </c>
      <c r="I66" s="346">
        <v>107.07734000000001</v>
      </c>
      <c r="J66" s="346">
        <v>-6.4279900000000003</v>
      </c>
      <c r="K66" s="346" t="s">
        <v>1020</v>
      </c>
      <c r="L66" s="794" t="s">
        <v>2342</v>
      </c>
      <c r="M66" s="346"/>
    </row>
    <row r="67" spans="1:13">
      <c r="A67" s="1014"/>
      <c r="B67" s="1014"/>
      <c r="C67" s="1014"/>
      <c r="D67" s="1014"/>
      <c r="E67" s="1014"/>
      <c r="F67" s="1014"/>
      <c r="G67" s="1014"/>
      <c r="H67" s="346" t="s">
        <v>1975</v>
      </c>
      <c r="I67" s="346">
        <v>107.07883</v>
      </c>
      <c r="J67" s="346">
        <v>-6.4316700000000004</v>
      </c>
      <c r="K67" s="346" t="s">
        <v>1024</v>
      </c>
      <c r="L67" s="346" t="s">
        <v>3120</v>
      </c>
      <c r="M67" s="346"/>
    </row>
    <row r="68" spans="1:13">
      <c r="A68" s="1014"/>
      <c r="B68" s="1014"/>
      <c r="C68" s="1014"/>
      <c r="D68" s="1014"/>
      <c r="E68" s="1014"/>
      <c r="F68" s="1014"/>
      <c r="G68" s="1014"/>
      <c r="H68" s="346" t="s">
        <v>2162</v>
      </c>
      <c r="I68" s="346">
        <v>107.08029999999999</v>
      </c>
      <c r="J68" s="346">
        <v>-6.4319899999999999</v>
      </c>
      <c r="K68" s="346" t="s">
        <v>1024</v>
      </c>
      <c r="L68" s="346" t="s">
        <v>3121</v>
      </c>
      <c r="M68" s="346"/>
    </row>
    <row r="69" spans="1:13">
      <c r="A69" s="1014"/>
      <c r="B69" s="1014"/>
      <c r="C69" s="1014"/>
      <c r="D69" s="1014"/>
      <c r="E69" s="1014"/>
      <c r="F69" s="1014"/>
      <c r="G69" s="1014"/>
      <c r="H69" s="346" t="s">
        <v>2295</v>
      </c>
      <c r="I69" s="346">
        <v>107.08382</v>
      </c>
      <c r="J69" s="346">
        <v>-6.4299600000000003</v>
      </c>
      <c r="K69" s="346" t="s">
        <v>1024</v>
      </c>
      <c r="L69" s="794" t="s">
        <v>2342</v>
      </c>
      <c r="M69" s="346"/>
    </row>
    <row r="70" spans="1:13">
      <c r="A70" s="1014"/>
      <c r="B70" s="1014"/>
      <c r="C70" s="1014"/>
      <c r="D70" s="1014"/>
      <c r="E70" s="1014"/>
      <c r="F70" s="1014"/>
      <c r="G70" s="1014"/>
      <c r="H70" s="346" t="s">
        <v>2066</v>
      </c>
      <c r="I70" s="346">
        <v>107.0831</v>
      </c>
      <c r="J70" s="346">
        <v>-6.4299499999999998</v>
      </c>
      <c r="K70" s="346" t="s">
        <v>1024</v>
      </c>
      <c r="L70" s="794" t="s">
        <v>2342</v>
      </c>
      <c r="M70" s="346"/>
    </row>
    <row r="71" spans="1:13">
      <c r="A71" s="1014"/>
      <c r="B71" s="1014"/>
      <c r="C71" s="1014"/>
      <c r="D71" s="1014"/>
      <c r="E71" s="1014"/>
      <c r="F71" s="1014"/>
      <c r="G71" s="1014"/>
      <c r="H71" s="346" t="s">
        <v>2059</v>
      </c>
      <c r="I71" s="346">
        <v>107.08354</v>
      </c>
      <c r="J71" s="346">
        <v>-6.4291999999999998</v>
      </c>
      <c r="K71" s="346" t="s">
        <v>1024</v>
      </c>
      <c r="L71" s="794" t="s">
        <v>2342</v>
      </c>
      <c r="M71" s="346"/>
    </row>
    <row r="72" spans="1:13">
      <c r="A72" s="1012" t="s">
        <v>2435</v>
      </c>
      <c r="B72" s="1012" t="s">
        <v>2436</v>
      </c>
      <c r="C72" s="1012" t="s">
        <v>5</v>
      </c>
      <c r="D72" s="1012" t="s">
        <v>1079</v>
      </c>
      <c r="E72" s="1012" t="s">
        <v>7</v>
      </c>
      <c r="F72" s="1012">
        <v>106.749588</v>
      </c>
      <c r="G72" s="1012">
        <v>-6.1282389999999998</v>
      </c>
      <c r="H72" s="795" t="s">
        <v>1978</v>
      </c>
      <c r="I72" s="795">
        <v>106.79843</v>
      </c>
      <c r="J72" s="795">
        <v>-6.2866799999999996</v>
      </c>
      <c r="K72" s="795" t="s">
        <v>2432</v>
      </c>
      <c r="L72" s="795" t="s">
        <v>3122</v>
      </c>
      <c r="M72" s="795"/>
    </row>
    <row r="73" spans="1:13">
      <c r="A73" s="1012"/>
      <c r="B73" s="1012"/>
      <c r="C73" s="1012"/>
      <c r="D73" s="1012"/>
      <c r="E73" s="1012"/>
      <c r="F73" s="1012"/>
      <c r="G73" s="1012"/>
      <c r="H73" s="795" t="s">
        <v>1975</v>
      </c>
      <c r="I73" s="795">
        <v>106.74915</v>
      </c>
      <c r="J73" s="795">
        <v>-6.1302899999999996</v>
      </c>
      <c r="K73" s="795" t="s">
        <v>2432</v>
      </c>
      <c r="L73" s="796" t="s">
        <v>3123</v>
      </c>
      <c r="M73" s="795"/>
    </row>
    <row r="74" spans="1:13">
      <c r="A74" s="1012"/>
      <c r="B74" s="1012"/>
      <c r="C74" s="1012"/>
      <c r="D74" s="1012"/>
      <c r="E74" s="1012"/>
      <c r="F74" s="1012"/>
      <c r="G74" s="1012"/>
      <c r="H74" s="795" t="s">
        <v>2162</v>
      </c>
      <c r="I74" s="795">
        <v>106.74943</v>
      </c>
      <c r="J74" s="795">
        <v>-6.1277900000000001</v>
      </c>
      <c r="K74" s="795" t="s">
        <v>2432</v>
      </c>
      <c r="L74" s="796" t="s">
        <v>3124</v>
      </c>
      <c r="M74" s="795"/>
    </row>
    <row r="75" spans="1:13">
      <c r="A75" s="1012" t="s">
        <v>2433</v>
      </c>
      <c r="B75" s="1012" t="s">
        <v>2434</v>
      </c>
      <c r="C75" s="1012" t="s">
        <v>5</v>
      </c>
      <c r="D75" s="1012" t="s">
        <v>6</v>
      </c>
      <c r="E75" s="1012" t="s">
        <v>7</v>
      </c>
      <c r="F75" s="1012">
        <v>106.79920300000001</v>
      </c>
      <c r="G75" s="1012">
        <v>-6.286594</v>
      </c>
      <c r="H75" s="795" t="s">
        <v>1978</v>
      </c>
      <c r="I75" s="795">
        <v>106.75085</v>
      </c>
      <c r="J75" s="795">
        <v>-6.1293899999999999</v>
      </c>
      <c r="K75" s="795" t="s">
        <v>2432</v>
      </c>
      <c r="L75" s="795" t="s">
        <v>2342</v>
      </c>
      <c r="M75" s="795"/>
    </row>
    <row r="76" spans="1:13">
      <c r="A76" s="1012"/>
      <c r="B76" s="1012"/>
      <c r="C76" s="1012"/>
      <c r="D76" s="1012"/>
      <c r="E76" s="1012"/>
      <c r="F76" s="1012"/>
      <c r="G76" s="1012"/>
      <c r="H76" s="795" t="s">
        <v>1975</v>
      </c>
      <c r="I76" s="795">
        <v>106.80286</v>
      </c>
      <c r="J76" s="795">
        <v>-6.2865000000000002</v>
      </c>
      <c r="K76" s="795" t="s">
        <v>2432</v>
      </c>
      <c r="L76" s="796" t="s">
        <v>3125</v>
      </c>
      <c r="M76" s="795"/>
    </row>
    <row r="77" spans="1:13">
      <c r="A77" s="1012"/>
      <c r="B77" s="1012"/>
      <c r="C77" s="1012"/>
      <c r="D77" s="1012"/>
      <c r="E77" s="1012"/>
      <c r="F77" s="1012"/>
      <c r="G77" s="1012"/>
      <c r="H77" s="795" t="s">
        <v>2162</v>
      </c>
      <c r="I77" s="795">
        <v>106.79957</v>
      </c>
      <c r="J77" s="795">
        <v>-6.2848699999999997</v>
      </c>
      <c r="K77" s="795" t="s">
        <v>2432</v>
      </c>
      <c r="L77" s="796" t="s">
        <v>3126</v>
      </c>
      <c r="M77" s="795"/>
    </row>
    <row r="78" spans="1:13">
      <c r="A78" s="1012"/>
      <c r="B78" s="1012"/>
      <c r="C78" s="1012"/>
      <c r="D78" s="1012"/>
      <c r="E78" s="1012"/>
      <c r="F78" s="1012"/>
      <c r="G78" s="1012"/>
      <c r="H78" s="795" t="s">
        <v>2295</v>
      </c>
      <c r="I78" s="795">
        <v>106.80137000000001</v>
      </c>
      <c r="J78" s="795">
        <v>-6.2871899999999998</v>
      </c>
      <c r="K78" s="795" t="s">
        <v>2432</v>
      </c>
      <c r="L78" s="796" t="s">
        <v>3127</v>
      </c>
      <c r="M78" s="795"/>
    </row>
    <row r="79" spans="1:13">
      <c r="A79" s="1012"/>
      <c r="B79" s="1012"/>
      <c r="C79" s="1012"/>
      <c r="D79" s="1012"/>
      <c r="E79" s="1012"/>
      <c r="F79" s="1012"/>
      <c r="G79" s="1012"/>
      <c r="H79" s="795" t="s">
        <v>2066</v>
      </c>
      <c r="I79" s="795">
        <v>106.80219</v>
      </c>
      <c r="J79" s="795">
        <v>-6.2871199999999998</v>
      </c>
      <c r="K79" s="795" t="s">
        <v>2432</v>
      </c>
      <c r="L79" s="796" t="s">
        <v>2342</v>
      </c>
      <c r="M79" s="795"/>
    </row>
    <row r="80" spans="1:13">
      <c r="A80" s="1012"/>
      <c r="B80" s="1012"/>
      <c r="C80" s="1012"/>
      <c r="D80" s="1012"/>
      <c r="E80" s="1012"/>
      <c r="F80" s="1012"/>
      <c r="G80" s="1012"/>
      <c r="H80" s="795" t="s">
        <v>2059</v>
      </c>
      <c r="I80" s="795">
        <v>106.80194</v>
      </c>
      <c r="J80" s="795">
        <v>-6.2878999999999996</v>
      </c>
      <c r="K80" s="795" t="s">
        <v>2432</v>
      </c>
      <c r="L80" s="796" t="s">
        <v>2342</v>
      </c>
      <c r="M80" s="795"/>
    </row>
    <row r="81" spans="1:13">
      <c r="A81" s="1012"/>
      <c r="B81" s="1012"/>
      <c r="C81" s="1012"/>
      <c r="D81" s="1012"/>
      <c r="E81" s="1012"/>
      <c r="F81" s="1012"/>
      <c r="G81" s="1012"/>
      <c r="H81" s="795" t="s">
        <v>2338</v>
      </c>
      <c r="I81" s="795">
        <v>106.80051</v>
      </c>
      <c r="J81" s="795">
        <v>-6.2852699999999997</v>
      </c>
      <c r="K81" s="795" t="s">
        <v>2432</v>
      </c>
      <c r="L81" s="796" t="s">
        <v>3128</v>
      </c>
      <c r="M81" s="795"/>
    </row>
    <row r="82" spans="1:13">
      <c r="A82" s="1012"/>
      <c r="B82" s="1012"/>
      <c r="C82" s="1012"/>
      <c r="D82" s="1012"/>
      <c r="E82" s="1012"/>
      <c r="F82" s="1012"/>
      <c r="G82" s="1012"/>
      <c r="H82" s="795" t="s">
        <v>2462</v>
      </c>
      <c r="I82" s="795">
        <v>106.80065</v>
      </c>
      <c r="J82" s="795">
        <v>-6.2870100000000004</v>
      </c>
      <c r="K82" s="795" t="s">
        <v>2432</v>
      </c>
      <c r="L82" s="796" t="s">
        <v>3129</v>
      </c>
      <c r="M82" s="795"/>
    </row>
    <row r="83" spans="1:13">
      <c r="A83" s="1013" t="s">
        <v>2569</v>
      </c>
      <c r="B83" s="1013" t="s">
        <v>2570</v>
      </c>
      <c r="C83" s="1012" t="s">
        <v>5</v>
      </c>
      <c r="D83" s="1012"/>
      <c r="E83" s="1012"/>
      <c r="F83" s="1013">
        <v>106.888589</v>
      </c>
      <c r="G83" s="1013">
        <v>-6.1223590000000003</v>
      </c>
      <c r="H83" s="795" t="s">
        <v>1978</v>
      </c>
      <c r="I83" s="795">
        <v>106.8887</v>
      </c>
      <c r="J83" s="795">
        <v>-6.12202</v>
      </c>
      <c r="K83" s="795" t="s">
        <v>2432</v>
      </c>
      <c r="L83" s="795"/>
      <c r="M83" s="795"/>
    </row>
    <row r="84" spans="1:13">
      <c r="A84" s="1013"/>
      <c r="B84" s="1013"/>
      <c r="C84" s="1012"/>
      <c r="D84" s="1012"/>
      <c r="E84" s="1012"/>
      <c r="F84" s="1013"/>
      <c r="G84" s="1013"/>
      <c r="H84" s="795" t="s">
        <v>1975</v>
      </c>
      <c r="I84" s="795">
        <v>106.88906</v>
      </c>
      <c r="J84" s="795">
        <v>-6.1216999999999997</v>
      </c>
      <c r="K84" s="795" t="s">
        <v>3130</v>
      </c>
      <c r="L84" s="795"/>
      <c r="M84" s="795"/>
    </row>
    <row r="85" spans="1:13">
      <c r="A85" s="1013" t="s">
        <v>2571</v>
      </c>
      <c r="B85" s="1013" t="s">
        <v>2572</v>
      </c>
      <c r="C85" s="1012" t="s">
        <v>5</v>
      </c>
      <c r="D85" s="1012"/>
      <c r="E85" s="1012"/>
      <c r="F85" s="1013">
        <v>106.702146</v>
      </c>
      <c r="G85" s="1013">
        <v>-6.166582</v>
      </c>
      <c r="H85" s="795" t="s">
        <v>1978</v>
      </c>
      <c r="I85" s="795">
        <v>106.70103</v>
      </c>
      <c r="J85" s="795">
        <v>-6.1671800000000001</v>
      </c>
      <c r="K85" s="795" t="s">
        <v>2432</v>
      </c>
      <c r="L85" s="795"/>
      <c r="M85" s="795"/>
    </row>
    <row r="86" spans="1:13">
      <c r="A86" s="1013"/>
      <c r="B86" s="1013"/>
      <c r="C86" s="1012"/>
      <c r="D86" s="1012"/>
      <c r="E86" s="1012"/>
      <c r="F86" s="1013"/>
      <c r="G86" s="1013"/>
      <c r="H86" s="795" t="s">
        <v>1975</v>
      </c>
      <c r="I86" s="795">
        <v>106.70098</v>
      </c>
      <c r="J86" s="795">
        <v>-6.1668399999999997</v>
      </c>
      <c r="K86" s="795" t="s">
        <v>2432</v>
      </c>
      <c r="L86" s="795"/>
      <c r="M86" s="795"/>
    </row>
    <row r="87" spans="1:13">
      <c r="A87" s="1013" t="s">
        <v>2573</v>
      </c>
      <c r="B87" s="1013" t="s">
        <v>2574</v>
      </c>
      <c r="C87" s="1012" t="s">
        <v>5</v>
      </c>
      <c r="D87" s="1012"/>
      <c r="E87" s="1012"/>
      <c r="F87" s="1013">
        <v>106.870287</v>
      </c>
      <c r="G87" s="1013">
        <v>-6.3208989999999998</v>
      </c>
      <c r="H87" s="795" t="s">
        <v>1978</v>
      </c>
      <c r="I87" s="795">
        <v>106.87052</v>
      </c>
      <c r="J87" s="795">
        <v>-6.32043</v>
      </c>
      <c r="K87" s="795" t="s">
        <v>2432</v>
      </c>
      <c r="L87" s="795"/>
      <c r="M87" s="795"/>
    </row>
    <row r="88" spans="1:13">
      <c r="A88" s="1013"/>
      <c r="B88" s="1013"/>
      <c r="C88" s="1012"/>
      <c r="D88" s="1012"/>
      <c r="E88" s="1012"/>
      <c r="F88" s="1013"/>
      <c r="G88" s="1013"/>
      <c r="H88" s="795" t="s">
        <v>1975</v>
      </c>
      <c r="I88" s="795">
        <v>106.87081999999999</v>
      </c>
      <c r="J88" s="795">
        <v>-6.3197099999999997</v>
      </c>
      <c r="K88" s="795" t="s">
        <v>1198</v>
      </c>
      <c r="L88" s="795"/>
      <c r="M88" s="795"/>
    </row>
    <row r="89" spans="1:13">
      <c r="A89" s="1013"/>
      <c r="B89" s="1013"/>
      <c r="C89" s="1012"/>
      <c r="D89" s="1012"/>
      <c r="E89" s="1012"/>
      <c r="F89" s="1013"/>
      <c r="G89" s="1013"/>
      <c r="H89" s="795" t="s">
        <v>2162</v>
      </c>
      <c r="I89" s="795">
        <v>106.87108000000001</v>
      </c>
      <c r="J89" s="795">
        <v>-6.3227200000000003</v>
      </c>
      <c r="K89" s="795" t="s">
        <v>1198</v>
      </c>
      <c r="L89" s="795"/>
      <c r="M89" s="795"/>
    </row>
    <row r="90" spans="1:13">
      <c r="A90" s="1013"/>
      <c r="B90" s="1013"/>
      <c r="C90" s="1012"/>
      <c r="D90" s="1012"/>
      <c r="E90" s="1012"/>
      <c r="F90" s="1013"/>
      <c r="G90" s="1013"/>
      <c r="H90" s="795" t="s">
        <v>2295</v>
      </c>
      <c r="I90" s="795">
        <v>106.87032000000001</v>
      </c>
      <c r="J90" s="795">
        <v>-6.3199699999999996</v>
      </c>
      <c r="K90" s="795" t="s">
        <v>1198</v>
      </c>
      <c r="L90" s="795"/>
      <c r="M90" s="795"/>
    </row>
    <row r="91" spans="1:13">
      <c r="A91" s="1012"/>
      <c r="B91" s="1013" t="s">
        <v>3131</v>
      </c>
      <c r="C91" s="1012" t="s">
        <v>5</v>
      </c>
      <c r="D91" s="1012" t="s">
        <v>505</v>
      </c>
      <c r="E91" s="1012" t="s">
        <v>7</v>
      </c>
      <c r="F91" s="1013">
        <v>106.803271</v>
      </c>
      <c r="G91" s="1013">
        <v>-6.154541</v>
      </c>
      <c r="H91" s="795" t="s">
        <v>1978</v>
      </c>
      <c r="I91" s="795">
        <v>106.80432</v>
      </c>
      <c r="J91" s="795">
        <v>-6.1545699999999997</v>
      </c>
      <c r="K91" s="795" t="s">
        <v>2432</v>
      </c>
      <c r="L91" s="795"/>
      <c r="M91" s="795"/>
    </row>
    <row r="92" spans="1:13">
      <c r="A92" s="1012"/>
      <c r="B92" s="1013"/>
      <c r="C92" s="1012"/>
      <c r="D92" s="1012"/>
      <c r="E92" s="1012"/>
      <c r="F92" s="1013"/>
      <c r="G92" s="1013"/>
      <c r="H92" s="795" t="s">
        <v>1975</v>
      </c>
      <c r="I92" s="795">
        <v>106.80367</v>
      </c>
      <c r="J92" s="795">
        <v>-6.1540699999999999</v>
      </c>
      <c r="K92" s="795" t="s">
        <v>3132</v>
      </c>
      <c r="L92" s="795"/>
      <c r="M92" s="795"/>
    </row>
    <row r="93" spans="1:13">
      <c r="A93" s="1012"/>
      <c r="B93" s="1013"/>
      <c r="C93" s="1012"/>
      <c r="D93" s="1012"/>
      <c r="E93" s="1012"/>
      <c r="F93" s="1013"/>
      <c r="G93" s="1013"/>
      <c r="H93" s="795" t="s">
        <v>2162</v>
      </c>
      <c r="I93" s="795">
        <v>106.80413</v>
      </c>
      <c r="J93" s="795">
        <v>-6.1546200000000004</v>
      </c>
      <c r="K93" s="795" t="s">
        <v>2432</v>
      </c>
      <c r="L93" s="795"/>
      <c r="M93" s="795"/>
    </row>
    <row r="94" spans="1:13">
      <c r="A94" s="1012"/>
      <c r="B94" s="1013"/>
      <c r="C94" s="1012"/>
      <c r="D94" s="1012"/>
      <c r="E94" s="1012"/>
      <c r="F94" s="1013"/>
      <c r="G94" s="1013"/>
      <c r="H94" s="795" t="s">
        <v>2295</v>
      </c>
      <c r="I94" s="795">
        <v>106.80437000000001</v>
      </c>
      <c r="J94" s="795">
        <v>-6.1543599999999996</v>
      </c>
      <c r="K94" s="795" t="s">
        <v>3133</v>
      </c>
      <c r="L94" s="795"/>
      <c r="M94" s="795"/>
    </row>
    <row r="95" spans="1:13">
      <c r="A95" s="795" t="s">
        <v>2665</v>
      </c>
      <c r="B95" s="795" t="s">
        <v>2661</v>
      </c>
      <c r="C95" s="795" t="s">
        <v>11</v>
      </c>
      <c r="D95" s="795" t="s">
        <v>659</v>
      </c>
      <c r="E95" s="795" t="s">
        <v>13</v>
      </c>
      <c r="F95" s="795">
        <v>106.787632</v>
      </c>
      <c r="G95" s="795">
        <v>-6.5447715999999998</v>
      </c>
      <c r="H95" s="795" t="s">
        <v>1978</v>
      </c>
      <c r="I95" s="795">
        <v>106.7873</v>
      </c>
      <c r="J95" s="795">
        <v>-6.5473800000000004</v>
      </c>
      <c r="K95" s="795"/>
      <c r="L95" s="795"/>
      <c r="M95" s="795"/>
    </row>
    <row r="96" spans="1:13">
      <c r="A96" s="1012" t="s">
        <v>2666</v>
      </c>
      <c r="B96" s="1013" t="s">
        <v>2662</v>
      </c>
      <c r="C96" s="1012" t="s">
        <v>11</v>
      </c>
      <c r="D96" s="1012" t="s">
        <v>26</v>
      </c>
      <c r="E96" s="1012" t="s">
        <v>13</v>
      </c>
      <c r="F96" s="1012">
        <v>106.518056</v>
      </c>
      <c r="G96" s="1012">
        <v>-6.3295009999999996</v>
      </c>
      <c r="H96" s="795" t="s">
        <v>1978</v>
      </c>
      <c r="I96" s="795">
        <v>106.51725999999999</v>
      </c>
      <c r="J96" s="795">
        <v>-6.32951</v>
      </c>
      <c r="K96" s="795" t="s">
        <v>2192</v>
      </c>
      <c r="L96" s="797" t="s">
        <v>3134</v>
      </c>
      <c r="M96" s="795"/>
    </row>
    <row r="97" spans="1:13">
      <c r="A97" s="1012"/>
      <c r="B97" s="1013"/>
      <c r="C97" s="1012"/>
      <c r="D97" s="1012"/>
      <c r="E97" s="1012"/>
      <c r="F97" s="1012"/>
      <c r="G97" s="1012"/>
      <c r="H97" s="795" t="s">
        <v>1975</v>
      </c>
      <c r="I97" s="795">
        <v>106.51736</v>
      </c>
      <c r="J97" s="795">
        <v>-6.3284200000000004</v>
      </c>
      <c r="K97" s="795" t="s">
        <v>2192</v>
      </c>
      <c r="L97" s="797" t="s">
        <v>3135</v>
      </c>
      <c r="M97" s="795"/>
    </row>
    <row r="98" spans="1:13">
      <c r="A98" s="1012"/>
      <c r="B98" s="1013"/>
      <c r="C98" s="1012"/>
      <c r="D98" s="1012"/>
      <c r="E98" s="1012"/>
      <c r="F98" s="1012"/>
      <c r="G98" s="1012"/>
      <c r="H98" s="795" t="s">
        <v>2162</v>
      </c>
      <c r="I98" s="795">
        <v>106.52039000000001</v>
      </c>
      <c r="J98" s="795">
        <v>-6.3300900000000002</v>
      </c>
      <c r="K98" s="795" t="s">
        <v>2192</v>
      </c>
      <c r="L98" s="797" t="s">
        <v>3136</v>
      </c>
      <c r="M98" s="795"/>
    </row>
    <row r="99" spans="1:13">
      <c r="A99" s="1012" t="s">
        <v>2664</v>
      </c>
      <c r="B99" s="1013" t="s">
        <v>2663</v>
      </c>
      <c r="C99" s="1012" t="s">
        <v>11</v>
      </c>
      <c r="D99" s="1012" t="s">
        <v>19</v>
      </c>
      <c r="E99" s="1012" t="s">
        <v>20</v>
      </c>
      <c r="F99" s="1012">
        <v>106.400899</v>
      </c>
      <c r="G99" s="1012">
        <v>-6.0471709999999996</v>
      </c>
      <c r="H99" s="795" t="s">
        <v>1978</v>
      </c>
      <c r="I99" s="795">
        <v>106.40115</v>
      </c>
      <c r="J99" s="795">
        <v>-6.0472299999999999</v>
      </c>
      <c r="K99" s="795"/>
      <c r="L99" s="797" t="s">
        <v>3134</v>
      </c>
      <c r="M99" s="795"/>
    </row>
    <row r="100" spans="1:13">
      <c r="A100" s="1012"/>
      <c r="B100" s="1013"/>
      <c r="C100" s="1012"/>
      <c r="D100" s="1012"/>
      <c r="E100" s="1012"/>
      <c r="F100" s="1012"/>
      <c r="G100" s="1012"/>
      <c r="H100" s="795" t="s">
        <v>1975</v>
      </c>
      <c r="I100" s="795">
        <v>106.40222</v>
      </c>
      <c r="J100" s="795">
        <v>-6.0472299999999999</v>
      </c>
      <c r="K100" s="795"/>
      <c r="L100" s="797" t="s">
        <v>3135</v>
      </c>
      <c r="M100" s="795"/>
    </row>
    <row r="101" spans="1:13">
      <c r="A101" s="1012"/>
      <c r="B101" s="1013"/>
      <c r="C101" s="1012"/>
      <c r="D101" s="1012"/>
      <c r="E101" s="1012"/>
      <c r="F101" s="1012"/>
      <c r="G101" s="1012"/>
      <c r="H101" s="795" t="s">
        <v>2162</v>
      </c>
      <c r="I101" s="795">
        <v>106.40338</v>
      </c>
      <c r="J101" s="795">
        <v>-6.0478699999999996</v>
      </c>
      <c r="K101" s="795"/>
      <c r="L101" s="797" t="s">
        <v>3136</v>
      </c>
      <c r="M101" s="795"/>
    </row>
    <row r="102" spans="1:13">
      <c r="A102" s="1012" t="s">
        <v>2669</v>
      </c>
      <c r="B102" s="1012" t="s">
        <v>2670</v>
      </c>
      <c r="C102" s="1012" t="s">
        <v>11</v>
      </c>
      <c r="D102" s="1012" t="s">
        <v>772</v>
      </c>
      <c r="E102" s="1012" t="s">
        <v>20</v>
      </c>
      <c r="F102" s="1012">
        <v>106.34689899999999</v>
      </c>
      <c r="G102" s="1012">
        <v>-6.2507659999999996</v>
      </c>
      <c r="H102" s="795" t="s">
        <v>1978</v>
      </c>
      <c r="I102" s="795">
        <v>106.34715</v>
      </c>
      <c r="J102" s="795">
        <v>-6.2499900000000004</v>
      </c>
      <c r="K102" s="795"/>
      <c r="L102" s="797" t="s">
        <v>3134</v>
      </c>
      <c r="M102" s="795"/>
    </row>
    <row r="103" spans="1:13">
      <c r="A103" s="1012"/>
      <c r="B103" s="1012"/>
      <c r="C103" s="1012"/>
      <c r="D103" s="1012"/>
      <c r="E103" s="1012"/>
      <c r="F103" s="1012"/>
      <c r="G103" s="1012"/>
      <c r="H103" s="795" t="s">
        <v>1975</v>
      </c>
      <c r="I103" s="795">
        <v>106.34719</v>
      </c>
      <c r="J103" s="795">
        <v>-6.2490399999999999</v>
      </c>
      <c r="K103" s="795"/>
      <c r="L103" s="797" t="s">
        <v>3135</v>
      </c>
      <c r="M103" s="795"/>
    </row>
    <row r="104" spans="1:13">
      <c r="A104" s="1012"/>
      <c r="B104" s="1012"/>
      <c r="C104" s="1012"/>
      <c r="D104" s="1012"/>
      <c r="E104" s="1012"/>
      <c r="F104" s="1012"/>
      <c r="G104" s="1012"/>
      <c r="H104" s="795" t="s">
        <v>2162</v>
      </c>
      <c r="I104" s="795">
        <v>106.34739999999999</v>
      </c>
      <c r="J104" s="795">
        <v>-6.2483399999999998</v>
      </c>
      <c r="K104" s="795"/>
      <c r="L104" s="797" t="s">
        <v>3137</v>
      </c>
      <c r="M104" s="795"/>
    </row>
    <row r="105" spans="1:13">
      <c r="A105" s="795" t="s">
        <v>2673</v>
      </c>
      <c r="B105" s="795" t="s">
        <v>2674</v>
      </c>
      <c r="C105" s="795" t="s">
        <v>11</v>
      </c>
      <c r="D105" s="795" t="s">
        <v>2675</v>
      </c>
      <c r="E105" s="795" t="s">
        <v>20</v>
      </c>
      <c r="F105" s="795">
        <v>106.168823</v>
      </c>
      <c r="G105" s="795">
        <v>-6.2769659999999998</v>
      </c>
      <c r="H105" s="795" t="s">
        <v>1978</v>
      </c>
      <c r="I105" s="795">
        <v>106.16816</v>
      </c>
      <c r="J105" s="795">
        <v>-6.2779999999999996</v>
      </c>
      <c r="K105" s="795" t="s">
        <v>1205</v>
      </c>
      <c r="L105" s="795" t="s">
        <v>3138</v>
      </c>
      <c r="M105" s="795"/>
    </row>
    <row r="106" spans="1:13">
      <c r="A106" s="795" t="s">
        <v>2676</v>
      </c>
      <c r="B106" s="795" t="s">
        <v>2677</v>
      </c>
      <c r="C106" s="795" t="s">
        <v>11</v>
      </c>
      <c r="D106" s="795" t="s">
        <v>2212</v>
      </c>
      <c r="E106" s="795" t="s">
        <v>20</v>
      </c>
      <c r="F106" s="795">
        <v>106.225611</v>
      </c>
      <c r="G106" s="795">
        <v>-6.5277776999999997</v>
      </c>
      <c r="H106" s="795" t="s">
        <v>1978</v>
      </c>
      <c r="I106" s="795">
        <v>106.22568</v>
      </c>
      <c r="J106" s="795">
        <v>-6.5275299999999996</v>
      </c>
      <c r="K106" s="795" t="s">
        <v>1205</v>
      </c>
      <c r="L106" s="795" t="s">
        <v>3138</v>
      </c>
      <c r="M106" s="795"/>
    </row>
    <row r="107" spans="1:13">
      <c r="A107" s="795" t="s">
        <v>2867</v>
      </c>
      <c r="B107" s="795" t="s">
        <v>2868</v>
      </c>
      <c r="C107" s="795" t="s">
        <v>5</v>
      </c>
      <c r="D107" s="795" t="s">
        <v>35</v>
      </c>
      <c r="E107" s="795" t="s">
        <v>7</v>
      </c>
      <c r="F107" s="795"/>
      <c r="G107" s="795"/>
      <c r="H107" s="795" t="s">
        <v>1978</v>
      </c>
      <c r="I107" s="795">
        <v>106.88461</v>
      </c>
      <c r="J107" s="795">
        <v>-6.2858200000000002</v>
      </c>
      <c r="K107" s="795" t="s">
        <v>1382</v>
      </c>
      <c r="L107" s="795"/>
      <c r="M107" s="795"/>
    </row>
    <row r="108" spans="1:13">
      <c r="A108" s="888"/>
      <c r="B108" s="888"/>
      <c r="C108" s="888"/>
      <c r="D108" s="888"/>
      <c r="E108" s="888"/>
      <c r="F108" s="888"/>
      <c r="G108" s="888"/>
      <c r="H108" s="888" t="s">
        <v>1975</v>
      </c>
      <c r="I108" s="888">
        <v>106.88489</v>
      </c>
      <c r="J108" s="888">
        <v>-6.2845300000000002</v>
      </c>
      <c r="K108" s="888" t="s">
        <v>1382</v>
      </c>
      <c r="L108" s="888"/>
      <c r="M108" s="888"/>
    </row>
    <row r="109" spans="1:13">
      <c r="A109" s="1012" t="s">
        <v>2678</v>
      </c>
      <c r="B109" s="1012" t="s">
        <v>2679</v>
      </c>
      <c r="C109" s="1012" t="s">
        <v>11</v>
      </c>
      <c r="D109" s="1012" t="s">
        <v>19</v>
      </c>
      <c r="E109" s="1012" t="s">
        <v>20</v>
      </c>
      <c r="F109" s="1012">
        <v>106.38760000000001</v>
      </c>
      <c r="G109" s="1012">
        <v>-6.0903600000000004</v>
      </c>
      <c r="H109" s="795" t="s">
        <v>1978</v>
      </c>
      <c r="I109" s="795">
        <v>106.38843</v>
      </c>
      <c r="J109" s="795">
        <v>-6.0895599999999996</v>
      </c>
      <c r="K109" s="795"/>
      <c r="L109" s="797" t="s">
        <v>3139</v>
      </c>
      <c r="M109" s="795"/>
    </row>
    <row r="110" spans="1:13">
      <c r="A110" s="1012"/>
      <c r="B110" s="1012"/>
      <c r="C110" s="1012"/>
      <c r="D110" s="1012"/>
      <c r="E110" s="1012"/>
      <c r="F110" s="1012"/>
      <c r="G110" s="1012"/>
      <c r="H110" s="795" t="s">
        <v>1975</v>
      </c>
      <c r="I110" s="795">
        <v>106.38845999999999</v>
      </c>
      <c r="J110" s="795">
        <v>-6.0907400000000003</v>
      </c>
      <c r="K110" s="795"/>
      <c r="L110" s="797" t="s">
        <v>3140</v>
      </c>
      <c r="M110" s="795"/>
    </row>
    <row r="111" spans="1:13">
      <c r="A111" s="1012"/>
      <c r="B111" s="1012"/>
      <c r="C111" s="1012"/>
      <c r="D111" s="1012"/>
      <c r="E111" s="1012"/>
      <c r="F111" s="1012"/>
      <c r="G111" s="1012"/>
      <c r="H111" s="795" t="s">
        <v>2162</v>
      </c>
      <c r="I111" s="795">
        <v>106.38714</v>
      </c>
      <c r="J111" s="795">
        <v>-6.0893499999999996</v>
      </c>
      <c r="K111" s="795"/>
      <c r="L111" s="797" t="s">
        <v>3141</v>
      </c>
      <c r="M111" s="795"/>
    </row>
    <row r="112" spans="1:13">
      <c r="A112" s="1012" t="s">
        <v>2684</v>
      </c>
      <c r="B112" s="1012" t="s">
        <v>2685</v>
      </c>
      <c r="C112" s="1012" t="s">
        <v>11</v>
      </c>
      <c r="D112" s="1012" t="s">
        <v>763</v>
      </c>
      <c r="E112" s="1012" t="s">
        <v>13</v>
      </c>
      <c r="F112" s="1012">
        <v>107.29647199999999</v>
      </c>
      <c r="G112" s="1012">
        <v>-6.2447290000000004</v>
      </c>
      <c r="H112" s="795" t="s">
        <v>1978</v>
      </c>
      <c r="I112" s="795">
        <v>107.29550999999999</v>
      </c>
      <c r="J112" s="795">
        <v>-6.24709</v>
      </c>
      <c r="K112" s="795" t="s">
        <v>1205</v>
      </c>
      <c r="L112" s="797" t="s">
        <v>3142</v>
      </c>
      <c r="M112" s="795"/>
    </row>
    <row r="113" spans="1:13">
      <c r="A113" s="1012"/>
      <c r="B113" s="1012"/>
      <c r="C113" s="1012"/>
      <c r="D113" s="1012"/>
      <c r="E113" s="1012"/>
      <c r="F113" s="1012"/>
      <c r="G113" s="1012"/>
      <c r="H113" s="795" t="s">
        <v>1975</v>
      </c>
      <c r="I113" s="795">
        <v>107.29516</v>
      </c>
      <c r="J113" s="795">
        <v>-6.2461599999999997</v>
      </c>
      <c r="K113" s="795" t="s">
        <v>1205</v>
      </c>
      <c r="L113" s="797" t="s">
        <v>3140</v>
      </c>
      <c r="M113" s="795"/>
    </row>
    <row r="114" spans="1:13">
      <c r="A114" s="1012"/>
      <c r="B114" s="1012"/>
      <c r="C114" s="1012"/>
      <c r="D114" s="1012"/>
      <c r="E114" s="1012"/>
      <c r="F114" s="1012"/>
      <c r="G114" s="1012"/>
      <c r="H114" s="795" t="s">
        <v>2162</v>
      </c>
      <c r="I114" s="795">
        <v>107.29665</v>
      </c>
      <c r="J114" s="795">
        <v>-6.2442599999999997</v>
      </c>
      <c r="K114" s="795" t="s">
        <v>1205</v>
      </c>
      <c r="L114" s="797" t="s">
        <v>3141</v>
      </c>
      <c r="M114" s="795"/>
    </row>
    <row r="115" spans="1:13">
      <c r="A115" s="1012"/>
      <c r="B115" s="1012"/>
      <c r="C115" s="1012"/>
      <c r="D115" s="1012"/>
      <c r="E115" s="1012"/>
      <c r="F115" s="1012"/>
      <c r="G115" s="1012"/>
      <c r="H115" s="795" t="s">
        <v>2295</v>
      </c>
      <c r="I115" s="795">
        <v>107.29841999999999</v>
      </c>
      <c r="J115" s="795">
        <v>-6.2445500000000003</v>
      </c>
      <c r="K115" s="795" t="s">
        <v>1205</v>
      </c>
      <c r="L115" s="797" t="s">
        <v>3143</v>
      </c>
      <c r="M115" s="795"/>
    </row>
    <row r="116" spans="1:13">
      <c r="A116" s="1012"/>
      <c r="B116" s="1012"/>
      <c r="C116" s="1012"/>
      <c r="D116" s="1012"/>
      <c r="E116" s="1012"/>
      <c r="F116" s="1012"/>
      <c r="G116" s="1012"/>
      <c r="H116" s="795" t="s">
        <v>2066</v>
      </c>
      <c r="I116" s="795">
        <v>107.29841999999999</v>
      </c>
      <c r="J116" s="795">
        <v>-6.2445500000000003</v>
      </c>
      <c r="K116" s="795" t="s">
        <v>1205</v>
      </c>
      <c r="L116" s="797"/>
      <c r="M116" s="795"/>
    </row>
    <row r="117" spans="1:13">
      <c r="A117" s="1012" t="s">
        <v>2686</v>
      </c>
      <c r="B117" s="1012" t="s">
        <v>3144</v>
      </c>
      <c r="C117" s="1012" t="s">
        <v>11</v>
      </c>
      <c r="D117" s="1012" t="s">
        <v>763</v>
      </c>
      <c r="E117" s="1012" t="s">
        <v>13</v>
      </c>
      <c r="F117" s="1012">
        <v>107.355814</v>
      </c>
      <c r="G117" s="1012">
        <v>-6.3476970000000001</v>
      </c>
      <c r="H117" s="795" t="s">
        <v>1978</v>
      </c>
      <c r="I117" s="795">
        <v>107.35659</v>
      </c>
      <c r="J117" s="795">
        <v>-6.3473800000000002</v>
      </c>
      <c r="K117" s="795" t="s">
        <v>1208</v>
      </c>
      <c r="L117" s="797" t="s">
        <v>3134</v>
      </c>
      <c r="M117" s="795"/>
    </row>
    <row r="118" spans="1:13">
      <c r="A118" s="1012"/>
      <c r="B118" s="1012"/>
      <c r="C118" s="1012"/>
      <c r="D118" s="1012"/>
      <c r="E118" s="1012"/>
      <c r="F118" s="1012"/>
      <c r="G118" s="1012"/>
      <c r="H118" s="795" t="s">
        <v>1975</v>
      </c>
      <c r="I118" s="795">
        <v>107.35744</v>
      </c>
      <c r="J118" s="795">
        <v>-6.3472299999999997</v>
      </c>
      <c r="K118" s="795" t="s">
        <v>1208</v>
      </c>
      <c r="L118" s="797" t="s">
        <v>3135</v>
      </c>
      <c r="M118" s="795"/>
    </row>
    <row r="119" spans="1:13">
      <c r="A119" s="1012"/>
      <c r="B119" s="1012"/>
      <c r="C119" s="1012"/>
      <c r="D119" s="1012"/>
      <c r="E119" s="1012"/>
      <c r="F119" s="1012"/>
      <c r="G119" s="1012"/>
      <c r="H119" s="795" t="s">
        <v>2162</v>
      </c>
      <c r="I119" s="795">
        <v>107.35751</v>
      </c>
      <c r="J119" s="795">
        <v>-6.3483599999999996</v>
      </c>
      <c r="K119" s="795" t="s">
        <v>1208</v>
      </c>
      <c r="L119" s="797"/>
      <c r="M119" s="795"/>
    </row>
    <row r="120" spans="1:13">
      <c r="A120" s="1012"/>
      <c r="B120" s="1012"/>
      <c r="C120" s="1012"/>
      <c r="D120" s="1012"/>
      <c r="E120" s="1012"/>
      <c r="F120" s="1012"/>
      <c r="G120" s="1012"/>
      <c r="H120" s="795" t="s">
        <v>2295</v>
      </c>
      <c r="I120" s="795">
        <v>107.35739</v>
      </c>
      <c r="J120" s="795">
        <v>-6.3485800000000001</v>
      </c>
      <c r="K120" s="795" t="s">
        <v>1208</v>
      </c>
      <c r="L120" s="797" t="s">
        <v>3137</v>
      </c>
      <c r="M120" s="795"/>
    </row>
    <row r="121" spans="1:13">
      <c r="A121" s="1012" t="s">
        <v>2687</v>
      </c>
      <c r="B121" s="1012" t="s">
        <v>2688</v>
      </c>
      <c r="C121" s="1012" t="s">
        <v>11</v>
      </c>
      <c r="D121" s="1012" t="s">
        <v>763</v>
      </c>
      <c r="E121" s="1012" t="s">
        <v>13</v>
      </c>
      <c r="F121" s="1012">
        <v>107.526357</v>
      </c>
      <c r="G121" s="1012">
        <v>-6.1921920000000004</v>
      </c>
      <c r="H121" s="795" t="s">
        <v>1978</v>
      </c>
      <c r="I121" s="795">
        <v>107.52561</v>
      </c>
      <c r="J121" s="795">
        <v>-6.1927700000000003</v>
      </c>
      <c r="K121" s="795" t="s">
        <v>1205</v>
      </c>
      <c r="L121" s="797" t="s">
        <v>3139</v>
      </c>
      <c r="M121" s="796"/>
    </row>
    <row r="122" spans="1:13">
      <c r="A122" s="1012"/>
      <c r="B122" s="1012"/>
      <c r="C122" s="1012"/>
      <c r="D122" s="1012"/>
      <c r="E122" s="1012"/>
      <c r="F122" s="1012"/>
      <c r="G122" s="1012"/>
      <c r="H122" s="795" t="s">
        <v>1975</v>
      </c>
      <c r="I122" s="795">
        <v>107.52742000000001</v>
      </c>
      <c r="J122" s="795">
        <v>-6.1933299999999996</v>
      </c>
      <c r="K122" s="795" t="s">
        <v>1205</v>
      </c>
      <c r="L122" s="797" t="s">
        <v>3145</v>
      </c>
      <c r="M122" s="796"/>
    </row>
    <row r="123" spans="1:13">
      <c r="A123" s="1012" t="s">
        <v>2689</v>
      </c>
      <c r="B123" s="1012" t="s">
        <v>2690</v>
      </c>
      <c r="C123" s="1012" t="s">
        <v>11</v>
      </c>
      <c r="D123" s="1012" t="s">
        <v>763</v>
      </c>
      <c r="E123" s="1012" t="s">
        <v>13</v>
      </c>
      <c r="F123" s="1012">
        <v>107.546403</v>
      </c>
      <c r="G123" s="1012">
        <v>-6.2701038000000002</v>
      </c>
      <c r="H123" s="795" t="s">
        <v>1978</v>
      </c>
      <c r="I123" s="795">
        <v>107.54675</v>
      </c>
      <c r="J123" s="795">
        <v>-6.2700899999999997</v>
      </c>
      <c r="K123" s="795" t="s">
        <v>1205</v>
      </c>
      <c r="L123" s="797" t="s">
        <v>3134</v>
      </c>
      <c r="M123" s="795"/>
    </row>
    <row r="124" spans="1:13">
      <c r="A124" s="1012"/>
      <c r="B124" s="1012"/>
      <c r="C124" s="1012"/>
      <c r="D124" s="1012"/>
      <c r="E124" s="1012"/>
      <c r="F124" s="1012"/>
      <c r="G124" s="1012"/>
      <c r="H124" s="795" t="s">
        <v>1975</v>
      </c>
      <c r="I124" s="795">
        <v>107.54785</v>
      </c>
      <c r="J124" s="795">
        <v>-6.2707899999999999</v>
      </c>
      <c r="K124" s="795" t="s">
        <v>1205</v>
      </c>
      <c r="L124" s="797" t="s">
        <v>3135</v>
      </c>
      <c r="M124" s="795"/>
    </row>
    <row r="125" spans="1:13">
      <c r="A125" s="1012" t="s">
        <v>2691</v>
      </c>
      <c r="B125" s="1012" t="s">
        <v>2692</v>
      </c>
      <c r="C125" s="1012" t="s">
        <v>11</v>
      </c>
      <c r="D125" s="1012" t="s">
        <v>26</v>
      </c>
      <c r="E125" s="1012" t="s">
        <v>13</v>
      </c>
      <c r="F125" s="1012">
        <v>106.61717</v>
      </c>
      <c r="G125" s="1012">
        <v>-6.4036600000000004</v>
      </c>
      <c r="H125" s="795" t="s">
        <v>1978</v>
      </c>
      <c r="I125" s="795">
        <v>106.61632</v>
      </c>
      <c r="J125" s="795">
        <v>-6.40421</v>
      </c>
      <c r="K125" s="795" t="s">
        <v>1208</v>
      </c>
      <c r="L125" s="797" t="s">
        <v>3134</v>
      </c>
      <c r="M125" s="795"/>
    </row>
    <row r="126" spans="1:13">
      <c r="A126" s="1012"/>
      <c r="B126" s="1012"/>
      <c r="C126" s="1012"/>
      <c r="D126" s="1012"/>
      <c r="E126" s="1012"/>
      <c r="F126" s="1012"/>
      <c r="G126" s="1012"/>
      <c r="H126" s="795" t="s">
        <v>1975</v>
      </c>
      <c r="I126" s="795">
        <v>106.61642000000001</v>
      </c>
      <c r="J126" s="795">
        <v>-6.4035000000000002</v>
      </c>
      <c r="K126" s="795" t="s">
        <v>1208</v>
      </c>
      <c r="L126" s="797" t="s">
        <v>3135</v>
      </c>
      <c r="M126" s="795"/>
    </row>
    <row r="127" spans="1:13">
      <c r="A127" s="1012" t="s">
        <v>2693</v>
      </c>
      <c r="B127" s="1012" t="s">
        <v>2694</v>
      </c>
      <c r="C127" s="1010" t="s">
        <v>2697</v>
      </c>
      <c r="D127" s="1010" t="s">
        <v>2698</v>
      </c>
      <c r="E127" s="1012" t="s">
        <v>13</v>
      </c>
      <c r="F127" s="1012">
        <v>107.3922</v>
      </c>
      <c r="G127" s="1012">
        <v>-6.6093000000000002</v>
      </c>
      <c r="H127" s="795" t="s">
        <v>1978</v>
      </c>
      <c r="I127" s="795">
        <v>107.39166</v>
      </c>
      <c r="J127" s="795">
        <v>-6.6091899999999999</v>
      </c>
      <c r="K127" s="795" t="s">
        <v>1205</v>
      </c>
      <c r="L127" s="797" t="s">
        <v>3134</v>
      </c>
      <c r="M127" s="798"/>
    </row>
    <row r="128" spans="1:13">
      <c r="A128" s="1012"/>
      <c r="B128" s="1012"/>
      <c r="C128" s="1010"/>
      <c r="D128" s="1010"/>
      <c r="E128" s="1012"/>
      <c r="F128" s="1012"/>
      <c r="G128" s="1012"/>
      <c r="H128" s="795" t="s">
        <v>1975</v>
      </c>
      <c r="I128" s="795">
        <v>107.38961</v>
      </c>
      <c r="J128" s="795">
        <v>-6.60975</v>
      </c>
      <c r="K128" s="795" t="s">
        <v>1205</v>
      </c>
      <c r="L128" s="797" t="s">
        <v>3135</v>
      </c>
      <c r="M128" s="798"/>
    </row>
    <row r="129" spans="1:13">
      <c r="A129" s="1012"/>
      <c r="B129" s="1012"/>
      <c r="C129" s="1010"/>
      <c r="D129" s="1010"/>
      <c r="E129" s="1012"/>
      <c r="F129" s="1012"/>
      <c r="G129" s="1012"/>
      <c r="H129" s="795" t="s">
        <v>2162</v>
      </c>
      <c r="I129" s="795">
        <v>107.39254</v>
      </c>
      <c r="J129" s="795">
        <v>-6.6076300000000003</v>
      </c>
      <c r="K129" s="795" t="s">
        <v>1205</v>
      </c>
      <c r="L129" s="797" t="s">
        <v>3136</v>
      </c>
      <c r="M129" s="798"/>
    </row>
    <row r="130" spans="1:13">
      <c r="A130" s="1012" t="s">
        <v>2695</v>
      </c>
      <c r="B130" s="1012" t="s">
        <v>2696</v>
      </c>
      <c r="C130" s="1010" t="s">
        <v>2697</v>
      </c>
      <c r="D130" s="1010" t="s">
        <v>2698</v>
      </c>
      <c r="E130" s="1012" t="s">
        <v>13</v>
      </c>
      <c r="F130" s="1010">
        <v>107.498516</v>
      </c>
      <c r="G130" s="1010">
        <v>-6.7293779999999996</v>
      </c>
      <c r="H130" s="795" t="s">
        <v>1978</v>
      </c>
      <c r="I130" s="795">
        <v>107.50169</v>
      </c>
      <c r="J130" s="795">
        <v>-6.7340200000000001</v>
      </c>
      <c r="K130" s="795" t="s">
        <v>1205</v>
      </c>
      <c r="L130" s="797" t="s">
        <v>3142</v>
      </c>
      <c r="M130" s="798"/>
    </row>
    <row r="131" spans="1:13">
      <c r="A131" s="1012"/>
      <c r="B131" s="1012"/>
      <c r="C131" s="1010"/>
      <c r="D131" s="1010"/>
      <c r="E131" s="1012"/>
      <c r="F131" s="1010"/>
      <c r="G131" s="1010"/>
      <c r="H131" s="795" t="s">
        <v>1975</v>
      </c>
      <c r="I131" s="795">
        <v>107.49760000000001</v>
      </c>
      <c r="J131" s="795">
        <v>-6.7322499999999996</v>
      </c>
      <c r="K131" s="795" t="s">
        <v>1205</v>
      </c>
      <c r="L131" s="797" t="s">
        <v>3145</v>
      </c>
      <c r="M131" s="798"/>
    </row>
    <row r="132" spans="1:13">
      <c r="A132" s="1012"/>
      <c r="B132" s="1012"/>
      <c r="C132" s="1010"/>
      <c r="D132" s="1010"/>
      <c r="E132" s="1012"/>
      <c r="F132" s="1010"/>
      <c r="G132" s="1010"/>
      <c r="H132" s="795" t="s">
        <v>2162</v>
      </c>
      <c r="I132" s="795">
        <v>107.49726</v>
      </c>
      <c r="J132" s="798">
        <v>-6.73116</v>
      </c>
      <c r="K132" s="795" t="s">
        <v>1205</v>
      </c>
      <c r="L132" s="797" t="s">
        <v>3146</v>
      </c>
      <c r="M132" s="798"/>
    </row>
    <row r="133" spans="1:13">
      <c r="A133" s="1012"/>
      <c r="B133" s="1012"/>
      <c r="C133" s="1010"/>
      <c r="D133" s="1010"/>
      <c r="E133" s="1012"/>
      <c r="F133" s="1010"/>
      <c r="G133" s="1010"/>
      <c r="H133" s="795" t="s">
        <v>2295</v>
      </c>
      <c r="I133" s="795">
        <v>107.49661</v>
      </c>
      <c r="J133" s="795">
        <v>-6.7308000000000003</v>
      </c>
      <c r="K133" s="795" t="s">
        <v>1205</v>
      </c>
      <c r="L133" s="797" t="s">
        <v>3147</v>
      </c>
      <c r="M133" s="798"/>
    </row>
    <row r="134" spans="1:13">
      <c r="A134" s="1012"/>
      <c r="B134" s="1012"/>
      <c r="C134" s="1010"/>
      <c r="D134" s="1010"/>
      <c r="E134" s="1012"/>
      <c r="F134" s="1010"/>
      <c r="G134" s="1010"/>
      <c r="H134" s="795" t="s">
        <v>2066</v>
      </c>
      <c r="I134" s="795">
        <v>107.49639999999999</v>
      </c>
      <c r="J134" s="795">
        <v>-6.7308500000000002</v>
      </c>
      <c r="K134" s="795" t="s">
        <v>1205</v>
      </c>
      <c r="L134" s="797" t="s">
        <v>1098</v>
      </c>
      <c r="M134" s="798"/>
    </row>
    <row r="135" spans="1:13">
      <c r="A135" s="1012" t="s">
        <v>2700</v>
      </c>
      <c r="B135" s="1012" t="s">
        <v>2701</v>
      </c>
      <c r="C135" s="1012" t="s">
        <v>11</v>
      </c>
      <c r="D135" s="1010" t="s">
        <v>12</v>
      </c>
      <c r="E135" s="1010" t="s">
        <v>13</v>
      </c>
      <c r="F135" s="1012">
        <v>106.625</v>
      </c>
      <c r="G135" s="1012">
        <v>-7.2472000000000003</v>
      </c>
      <c r="H135" s="795" t="s">
        <v>1978</v>
      </c>
      <c r="I135" s="795">
        <v>106.62645999999999</v>
      </c>
      <c r="J135" s="795">
        <v>-7.2478199999999999</v>
      </c>
      <c r="K135" s="795" t="s">
        <v>1205</v>
      </c>
      <c r="L135" s="797" t="s">
        <v>3134</v>
      </c>
      <c r="M135" s="798"/>
    </row>
    <row r="136" spans="1:13">
      <c r="A136" s="1012"/>
      <c r="B136" s="1012"/>
      <c r="C136" s="1012"/>
      <c r="D136" s="1010"/>
      <c r="E136" s="1010"/>
      <c r="F136" s="1012"/>
      <c r="G136" s="1012"/>
      <c r="H136" s="795" t="s">
        <v>1975</v>
      </c>
      <c r="I136" s="795">
        <v>106.62421999999999</v>
      </c>
      <c r="J136" s="795">
        <v>-7.2454799999999997</v>
      </c>
      <c r="K136" s="795" t="s">
        <v>1205</v>
      </c>
      <c r="L136" s="797" t="s">
        <v>3140</v>
      </c>
      <c r="M136" s="798"/>
    </row>
    <row r="137" spans="1:13">
      <c r="A137" s="1012"/>
      <c r="B137" s="1012"/>
      <c r="C137" s="1012"/>
      <c r="D137" s="1010"/>
      <c r="E137" s="1010"/>
      <c r="F137" s="1012"/>
      <c r="G137" s="1012"/>
      <c r="H137" s="795" t="s">
        <v>2162</v>
      </c>
      <c r="I137" s="795">
        <v>106.6221</v>
      </c>
      <c r="J137" s="795">
        <v>-7.24695</v>
      </c>
      <c r="K137" s="795" t="s">
        <v>1205</v>
      </c>
      <c r="L137" s="797" t="s">
        <v>3136</v>
      </c>
      <c r="M137" s="798"/>
    </row>
    <row r="138" spans="1:13">
      <c r="A138" s="1012"/>
      <c r="B138" s="1012"/>
      <c r="C138" s="1012"/>
      <c r="D138" s="1010"/>
      <c r="E138" s="1010"/>
      <c r="F138" s="1012"/>
      <c r="G138" s="1012"/>
      <c r="H138" s="795" t="s">
        <v>2295</v>
      </c>
      <c r="I138" s="795">
        <v>106.62452</v>
      </c>
      <c r="J138" s="795">
        <v>-7.2471100000000002</v>
      </c>
      <c r="K138" s="795" t="s">
        <v>1205</v>
      </c>
      <c r="L138" s="797" t="s">
        <v>3148</v>
      </c>
      <c r="M138" s="798"/>
    </row>
    <row r="139" spans="1:13">
      <c r="A139" s="1012" t="s">
        <v>2682</v>
      </c>
      <c r="B139" s="1012" t="s">
        <v>2683</v>
      </c>
      <c r="C139" s="1012" t="s">
        <v>11</v>
      </c>
      <c r="D139" s="1010" t="s">
        <v>2702</v>
      </c>
      <c r="E139" s="1010" t="s">
        <v>20</v>
      </c>
      <c r="F139" s="1012">
        <v>106.050617</v>
      </c>
      <c r="G139" s="1012">
        <v>-6.034592</v>
      </c>
      <c r="H139" s="795" t="s">
        <v>1978</v>
      </c>
      <c r="I139" s="795">
        <v>106.05061000000001</v>
      </c>
      <c r="J139" s="795">
        <v>-6.0340199999999999</v>
      </c>
      <c r="K139" s="798" t="s">
        <v>1208</v>
      </c>
      <c r="L139" s="797" t="s">
        <v>3134</v>
      </c>
      <c r="M139" s="798"/>
    </row>
    <row r="140" spans="1:13">
      <c r="A140" s="1012"/>
      <c r="B140" s="1012"/>
      <c r="C140" s="1012"/>
      <c r="D140" s="1010"/>
      <c r="E140" s="1010"/>
      <c r="F140" s="1012"/>
      <c r="G140" s="1012"/>
      <c r="H140" s="795" t="s">
        <v>1975</v>
      </c>
      <c r="I140" s="795">
        <v>106.04944</v>
      </c>
      <c r="J140" s="795">
        <v>-6.0346099999999998</v>
      </c>
      <c r="K140" s="798" t="s">
        <v>1208</v>
      </c>
      <c r="L140" s="797" t="s">
        <v>3140</v>
      </c>
      <c r="M140" s="798"/>
    </row>
    <row r="141" spans="1:13">
      <c r="A141" s="1012"/>
      <c r="B141" s="1012"/>
      <c r="C141" s="1012"/>
      <c r="D141" s="1010"/>
      <c r="E141" s="1010"/>
      <c r="F141" s="1012"/>
      <c r="G141" s="1012"/>
      <c r="H141" s="859" t="s">
        <v>2162</v>
      </c>
      <c r="I141" s="859">
        <v>106.05</v>
      </c>
      <c r="J141" s="859">
        <v>-6.0360300000000002</v>
      </c>
      <c r="K141" s="860" t="s">
        <v>1208</v>
      </c>
      <c r="L141" s="860" t="s">
        <v>3268</v>
      </c>
      <c r="M141" s="860"/>
    </row>
    <row r="142" spans="1:13">
      <c r="A142" s="1012"/>
      <c r="B142" s="1012"/>
      <c r="C142" s="1012"/>
      <c r="D142" s="1010"/>
      <c r="E142" s="1010"/>
      <c r="F142" s="1012"/>
      <c r="G142" s="1012"/>
      <c r="H142" s="795" t="s">
        <v>2295</v>
      </c>
      <c r="I142" s="795">
        <v>106.05128000000001</v>
      </c>
      <c r="J142" s="795">
        <v>-6.0365000000000002</v>
      </c>
      <c r="K142" s="798" t="s">
        <v>1208</v>
      </c>
      <c r="L142" s="799" t="s">
        <v>3154</v>
      </c>
      <c r="M142" s="798"/>
    </row>
    <row r="143" spans="1:13">
      <c r="A143" s="1012" t="s">
        <v>2703</v>
      </c>
      <c r="B143" s="1012" t="s">
        <v>2704</v>
      </c>
      <c r="C143" s="1012" t="s">
        <v>11</v>
      </c>
      <c r="D143" s="1010" t="s">
        <v>19</v>
      </c>
      <c r="E143" s="1010" t="s">
        <v>20</v>
      </c>
      <c r="F143" s="1012">
        <v>106.53172000000001</v>
      </c>
      <c r="G143" s="1012">
        <v>-6.1009399999999996</v>
      </c>
      <c r="H143" s="795" t="s">
        <v>1978</v>
      </c>
      <c r="I143" s="795">
        <v>106.5318</v>
      </c>
      <c r="J143" s="795">
        <v>-6.1010299999999997</v>
      </c>
      <c r="K143" s="798" t="s">
        <v>1205</v>
      </c>
      <c r="L143" s="797" t="s">
        <v>3134</v>
      </c>
      <c r="M143" s="798"/>
    </row>
    <row r="144" spans="1:13">
      <c r="A144" s="1012"/>
      <c r="B144" s="1012"/>
      <c r="C144" s="1012"/>
      <c r="D144" s="1010"/>
      <c r="E144" s="1010"/>
      <c r="F144" s="1012"/>
      <c r="G144" s="1012"/>
      <c r="H144" s="795" t="s">
        <v>1975</v>
      </c>
      <c r="I144" s="795">
        <v>106.53218</v>
      </c>
      <c r="J144" s="795">
        <v>-6.1019199999999998</v>
      </c>
      <c r="K144" s="798" t="s">
        <v>1205</v>
      </c>
      <c r="L144" s="797" t="s">
        <v>3140</v>
      </c>
      <c r="M144" s="798"/>
    </row>
    <row r="145" spans="1:13">
      <c r="A145" s="1011" t="s">
        <v>2710</v>
      </c>
      <c r="B145" s="1011" t="s">
        <v>2711</v>
      </c>
      <c r="C145" s="1012" t="s">
        <v>11</v>
      </c>
      <c r="D145" s="1010" t="s">
        <v>19</v>
      </c>
      <c r="E145" s="1010" t="s">
        <v>20</v>
      </c>
      <c r="F145" s="1010">
        <v>106.40283599999999</v>
      </c>
      <c r="G145" s="1010">
        <v>-6.2900530000000003</v>
      </c>
      <c r="H145" s="795" t="s">
        <v>1978</v>
      </c>
      <c r="I145" s="795">
        <v>106.4025</v>
      </c>
      <c r="J145" s="795">
        <v>-6.2898800000000001</v>
      </c>
      <c r="K145" s="798" t="s">
        <v>1205</v>
      </c>
      <c r="L145" s="797" t="s">
        <v>3134</v>
      </c>
      <c r="M145" s="798"/>
    </row>
    <row r="146" spans="1:13">
      <c r="A146" s="1011"/>
      <c r="B146" s="1011"/>
      <c r="C146" s="1012"/>
      <c r="D146" s="1010"/>
      <c r="E146" s="1010"/>
      <c r="F146" s="1010"/>
      <c r="G146" s="1010"/>
      <c r="H146" s="795" t="s">
        <v>1975</v>
      </c>
      <c r="I146" s="795">
        <v>106.40348</v>
      </c>
      <c r="J146" s="795">
        <v>-6.2896000000000001</v>
      </c>
      <c r="K146" s="798" t="s">
        <v>1205</v>
      </c>
      <c r="L146" s="797" t="s">
        <v>3135</v>
      </c>
      <c r="M146" s="798"/>
    </row>
    <row r="147" spans="1:13">
      <c r="A147" s="800" t="s">
        <v>2712</v>
      </c>
      <c r="B147" s="800" t="s">
        <v>2713</v>
      </c>
      <c r="C147" s="798" t="s">
        <v>11</v>
      </c>
      <c r="D147" s="798" t="s">
        <v>12</v>
      </c>
      <c r="E147" s="798" t="s">
        <v>13</v>
      </c>
      <c r="F147" s="798">
        <v>106.949838</v>
      </c>
      <c r="G147" s="798">
        <v>-6.8856400000000004</v>
      </c>
      <c r="H147" s="795" t="s">
        <v>1978</v>
      </c>
      <c r="I147" s="795">
        <v>106.94962</v>
      </c>
      <c r="J147" s="795">
        <v>-6.8861800000000004</v>
      </c>
      <c r="K147" s="798" t="s">
        <v>1205</v>
      </c>
      <c r="L147" s="797" t="s">
        <v>3149</v>
      </c>
      <c r="M147" s="798"/>
    </row>
    <row r="148" spans="1:13">
      <c r="A148" s="1011" t="s">
        <v>2714</v>
      </c>
      <c r="B148" s="1011" t="s">
        <v>2715</v>
      </c>
      <c r="C148" s="1012" t="s">
        <v>11</v>
      </c>
      <c r="D148" s="1012" t="s">
        <v>26</v>
      </c>
      <c r="E148" s="1012" t="s">
        <v>13</v>
      </c>
      <c r="F148" s="1010">
        <v>106.828339</v>
      </c>
      <c r="G148" s="1010">
        <v>-6.6881060000000003</v>
      </c>
      <c r="H148" s="795" t="s">
        <v>1978</v>
      </c>
      <c r="I148" s="795">
        <v>106.82696</v>
      </c>
      <c r="J148" s="795">
        <v>-6.6886400000000004</v>
      </c>
      <c r="K148" s="798" t="s">
        <v>1205</v>
      </c>
      <c r="L148" s="797" t="s">
        <v>3134</v>
      </c>
      <c r="M148" s="798"/>
    </row>
    <row r="149" spans="1:13">
      <c r="A149" s="1011"/>
      <c r="B149" s="1011"/>
      <c r="C149" s="1012"/>
      <c r="D149" s="1012"/>
      <c r="E149" s="1012"/>
      <c r="F149" s="1010"/>
      <c r="G149" s="1010"/>
      <c r="H149" s="795" t="s">
        <v>1975</v>
      </c>
      <c r="I149" s="795">
        <v>106.82877000000001</v>
      </c>
      <c r="J149" s="795">
        <v>-6.68879</v>
      </c>
      <c r="K149" s="798" t="s">
        <v>1205</v>
      </c>
      <c r="L149" s="797" t="s">
        <v>3135</v>
      </c>
      <c r="M149" s="798"/>
    </row>
    <row r="150" spans="1:13">
      <c r="A150" s="1011"/>
      <c r="B150" s="1011"/>
      <c r="C150" s="1012"/>
      <c r="D150" s="1012"/>
      <c r="E150" s="1012"/>
      <c r="F150" s="1010"/>
      <c r="G150" s="1010"/>
      <c r="H150" s="795" t="s">
        <v>2162</v>
      </c>
      <c r="I150" s="795">
        <v>106.94962</v>
      </c>
      <c r="J150" s="795">
        <v>-6.8861800000000004</v>
      </c>
      <c r="K150" s="798" t="s">
        <v>1205</v>
      </c>
      <c r="L150" s="797" t="s">
        <v>3136</v>
      </c>
      <c r="M150" s="798"/>
    </row>
    <row r="151" spans="1:13">
      <c r="A151" s="1010" t="s">
        <v>2859</v>
      </c>
      <c r="B151" s="1010" t="s">
        <v>2860</v>
      </c>
      <c r="C151" s="1010" t="s">
        <v>11</v>
      </c>
      <c r="D151" s="1010" t="s">
        <v>659</v>
      </c>
      <c r="E151" s="1010" t="s">
        <v>13</v>
      </c>
      <c r="F151" s="1010">
        <v>106.78922</v>
      </c>
      <c r="G151" s="1010">
        <v>-6.535927</v>
      </c>
      <c r="H151" s="795" t="s">
        <v>316</v>
      </c>
      <c r="I151" s="795">
        <v>106.78968999999999</v>
      </c>
      <c r="J151" s="795">
        <v>-6.5350299999999999</v>
      </c>
      <c r="K151" s="798" t="s">
        <v>1208</v>
      </c>
      <c r="L151" s="801" t="s">
        <v>3129</v>
      </c>
      <c r="M151" s="798"/>
    </row>
    <row r="152" spans="1:13">
      <c r="A152" s="1010"/>
      <c r="B152" s="1010"/>
      <c r="C152" s="1010"/>
      <c r="D152" s="1010"/>
      <c r="E152" s="1010"/>
      <c r="F152" s="1010"/>
      <c r="G152" s="1010"/>
      <c r="H152" s="795" t="s">
        <v>314</v>
      </c>
      <c r="I152" s="795">
        <v>106.78816999999999</v>
      </c>
      <c r="J152" s="795">
        <v>-6.5349899999999996</v>
      </c>
      <c r="K152" s="798" t="s">
        <v>1208</v>
      </c>
      <c r="L152" s="801" t="s">
        <v>3150</v>
      </c>
      <c r="M152" s="798"/>
    </row>
    <row r="153" spans="1:13">
      <c r="A153" s="1010"/>
      <c r="B153" s="1010"/>
      <c r="C153" s="1010"/>
      <c r="D153" s="1010"/>
      <c r="E153" s="1010"/>
      <c r="F153" s="1010"/>
      <c r="G153" s="1010"/>
      <c r="H153" s="795" t="s">
        <v>179</v>
      </c>
      <c r="I153" s="795">
        <v>106.78838</v>
      </c>
      <c r="J153" s="795">
        <v>-6.5335999999999999</v>
      </c>
      <c r="K153" s="798" t="s">
        <v>1208</v>
      </c>
      <c r="L153" s="801" t="s">
        <v>3151</v>
      </c>
      <c r="M153" s="798"/>
    </row>
    <row r="154" spans="1:13">
      <c r="A154" s="1010"/>
      <c r="B154" s="1010"/>
      <c r="C154" s="1010"/>
      <c r="D154" s="1010"/>
      <c r="E154" s="1010"/>
      <c r="F154" s="1010"/>
      <c r="G154" s="1010"/>
      <c r="H154" s="795" t="s">
        <v>178</v>
      </c>
      <c r="I154" s="795">
        <v>106.79076999999999</v>
      </c>
      <c r="J154" s="795">
        <v>-6.5357500000000002</v>
      </c>
      <c r="K154" s="798" t="s">
        <v>1208</v>
      </c>
      <c r="L154" s="802" t="s">
        <v>3152</v>
      </c>
      <c r="M154" s="798"/>
    </row>
    <row r="155" spans="1:13">
      <c r="A155" s="1010"/>
      <c r="B155" s="1010"/>
      <c r="C155" s="1010"/>
      <c r="D155" s="1010"/>
      <c r="E155" s="1010"/>
      <c r="F155" s="1010"/>
      <c r="G155" s="1010"/>
      <c r="H155" s="795" t="s">
        <v>1978</v>
      </c>
      <c r="I155" s="795">
        <v>106.78977999999999</v>
      </c>
      <c r="J155" s="795">
        <v>-6.5353399999999997</v>
      </c>
      <c r="K155" s="798" t="s">
        <v>1208</v>
      </c>
      <c r="L155" s="801" t="s">
        <v>3129</v>
      </c>
      <c r="M155" s="798"/>
    </row>
    <row r="156" spans="1:13">
      <c r="A156" s="1010"/>
      <c r="B156" s="1010"/>
      <c r="C156" s="1010"/>
      <c r="D156" s="1010"/>
      <c r="E156" s="1010"/>
      <c r="F156" s="1010"/>
      <c r="G156" s="1010"/>
      <c r="H156" s="795" t="s">
        <v>1975</v>
      </c>
      <c r="I156" s="795">
        <v>106.78541</v>
      </c>
      <c r="J156" s="795">
        <v>-6.5410399999999997</v>
      </c>
      <c r="K156" s="798" t="s">
        <v>1208</v>
      </c>
      <c r="L156" s="801" t="s">
        <v>3151</v>
      </c>
      <c r="M156" s="798"/>
    </row>
    <row r="157" spans="1:13">
      <c r="A157" s="1010"/>
      <c r="B157" s="1010"/>
      <c r="C157" s="1010"/>
      <c r="D157" s="1010"/>
      <c r="E157" s="1010"/>
      <c r="F157" s="1010"/>
      <c r="G157" s="1010"/>
      <c r="H157" s="795" t="s">
        <v>2162</v>
      </c>
      <c r="I157" s="795">
        <v>106.78758999999999</v>
      </c>
      <c r="J157" s="795">
        <v>-6.5346799999999998</v>
      </c>
      <c r="K157" s="798" t="s">
        <v>1208</v>
      </c>
      <c r="L157" s="801" t="s">
        <v>3153</v>
      </c>
      <c r="M157" s="798"/>
    </row>
    <row r="158" spans="1:13">
      <c r="A158" s="1010"/>
      <c r="B158" s="1010"/>
      <c r="C158" s="1010"/>
      <c r="D158" s="1010"/>
      <c r="E158" s="1010"/>
      <c r="F158" s="1010"/>
      <c r="G158" s="1010"/>
      <c r="H158" s="795" t="s">
        <v>2295</v>
      </c>
      <c r="I158" s="795">
        <v>106.78708</v>
      </c>
      <c r="J158" s="795">
        <v>-6.5344199999999999</v>
      </c>
      <c r="K158" s="798" t="s">
        <v>1208</v>
      </c>
      <c r="L158" s="801" t="s">
        <v>3151</v>
      </c>
      <c r="M158" s="798"/>
    </row>
    <row r="159" spans="1:13">
      <c r="A159" s="1010"/>
      <c r="B159" s="1010"/>
      <c r="C159" s="1010"/>
      <c r="D159" s="1010"/>
      <c r="E159" s="1010"/>
      <c r="F159" s="1010"/>
      <c r="G159" s="1010"/>
      <c r="H159" s="795" t="s">
        <v>2066</v>
      </c>
      <c r="I159" s="803">
        <v>106.79048</v>
      </c>
      <c r="J159" s="803">
        <v>-6.5343099999999996</v>
      </c>
      <c r="K159" s="798" t="s">
        <v>1208</v>
      </c>
      <c r="L159" s="802" t="s">
        <v>3154</v>
      </c>
      <c r="M159" s="798"/>
    </row>
    <row r="160" spans="1:13">
      <c r="A160" s="1010"/>
      <c r="B160" s="1010"/>
      <c r="C160" s="1010"/>
      <c r="D160" s="1010"/>
      <c r="E160" s="1010"/>
      <c r="F160" s="1010"/>
      <c r="G160" s="1010"/>
      <c r="H160" s="795" t="s">
        <v>2059</v>
      </c>
      <c r="I160" s="803" t="s">
        <v>3155</v>
      </c>
      <c r="J160" s="803">
        <v>-6.5360199999999997</v>
      </c>
      <c r="K160" s="798" t="s">
        <v>1208</v>
      </c>
      <c r="L160" s="802" t="s">
        <v>3154</v>
      </c>
      <c r="M160" s="798"/>
    </row>
    <row r="161" spans="1:13">
      <c r="A161" s="1010" t="s">
        <v>3156</v>
      </c>
      <c r="B161" s="1010" t="s">
        <v>2861</v>
      </c>
      <c r="C161" s="1010" t="s">
        <v>11</v>
      </c>
      <c r="D161" s="1010" t="s">
        <v>26</v>
      </c>
      <c r="E161" s="1010" t="s">
        <v>13</v>
      </c>
      <c r="F161" s="1010"/>
      <c r="G161" s="1010"/>
      <c r="H161" s="795" t="s">
        <v>1978</v>
      </c>
      <c r="I161" s="795">
        <v>107.05146000000001</v>
      </c>
      <c r="J161" s="795">
        <v>-6.4120699999999999</v>
      </c>
      <c r="K161" s="798"/>
      <c r="L161" s="798" t="s">
        <v>3157</v>
      </c>
      <c r="M161" s="798"/>
    </row>
    <row r="162" spans="1:13">
      <c r="A162" s="1010"/>
      <c r="B162" s="1010"/>
      <c r="C162" s="1010"/>
      <c r="D162" s="1010"/>
      <c r="E162" s="1010"/>
      <c r="F162" s="1010"/>
      <c r="G162" s="1010"/>
      <c r="H162" s="795" t="s">
        <v>1975</v>
      </c>
      <c r="I162" s="795">
        <v>107.05108</v>
      </c>
      <c r="J162" s="795">
        <v>-6.4108900000000002</v>
      </c>
      <c r="K162" s="798"/>
      <c r="L162" s="798" t="s">
        <v>3158</v>
      </c>
      <c r="M162" s="798"/>
    </row>
    <row r="163" spans="1:13">
      <c r="A163" s="1010"/>
      <c r="B163" s="1010"/>
      <c r="C163" s="1010"/>
      <c r="D163" s="1010"/>
      <c r="E163" s="1010"/>
      <c r="F163" s="1010"/>
      <c r="G163" s="1010"/>
      <c r="H163" s="795" t="s">
        <v>2162</v>
      </c>
      <c r="I163" s="795">
        <v>107.04939</v>
      </c>
      <c r="J163" s="795">
        <v>-6.4130500000000001</v>
      </c>
      <c r="K163" s="798"/>
      <c r="L163" s="798" t="s">
        <v>2342</v>
      </c>
      <c r="M163" s="798"/>
    </row>
    <row r="164" spans="1:13">
      <c r="A164" s="1010" t="s">
        <v>3159</v>
      </c>
      <c r="B164" s="1010" t="s">
        <v>3160</v>
      </c>
      <c r="C164" s="1010" t="s">
        <v>11</v>
      </c>
      <c r="D164" s="1010" t="s">
        <v>638</v>
      </c>
      <c r="E164" s="1010" t="s">
        <v>13</v>
      </c>
      <c r="F164" s="1010"/>
      <c r="G164" s="1010"/>
      <c r="H164" s="795" t="s">
        <v>1978</v>
      </c>
      <c r="I164" s="795">
        <v>107.16974999999999</v>
      </c>
      <c r="J164" s="795">
        <v>-6.2149099999999997</v>
      </c>
      <c r="K164" s="798" t="s">
        <v>1205</v>
      </c>
      <c r="L164" s="798" t="s">
        <v>3161</v>
      </c>
      <c r="M164" s="798"/>
    </row>
    <row r="165" spans="1:13">
      <c r="A165" s="1010"/>
      <c r="B165" s="1010"/>
      <c r="C165" s="1010"/>
      <c r="D165" s="1010"/>
      <c r="E165" s="1010"/>
      <c r="F165" s="1010"/>
      <c r="G165" s="1010"/>
      <c r="H165" s="906" t="s">
        <v>1975</v>
      </c>
      <c r="I165" s="906">
        <v>107.17468</v>
      </c>
      <c r="J165" s="906">
        <v>-6.2182500000000003</v>
      </c>
      <c r="K165" s="905" t="s">
        <v>1205</v>
      </c>
      <c r="L165" s="905" t="s">
        <v>3345</v>
      </c>
      <c r="M165" s="905"/>
    </row>
    <row r="166" spans="1:13">
      <c r="A166" s="1010"/>
      <c r="B166" s="1010"/>
      <c r="C166" s="1010"/>
      <c r="D166" s="1010"/>
      <c r="E166" s="1010"/>
      <c r="F166" s="1010"/>
      <c r="G166" s="1010"/>
      <c r="H166" s="906" t="s">
        <v>2162</v>
      </c>
      <c r="I166" s="906">
        <v>107.18210000000001</v>
      </c>
      <c r="J166" s="906">
        <v>-6.2186500000000002</v>
      </c>
      <c r="K166" s="905" t="s">
        <v>1205</v>
      </c>
      <c r="L166" s="799" t="s">
        <v>3154</v>
      </c>
      <c r="M166" s="905"/>
    </row>
    <row r="167" spans="1:13">
      <c r="A167" s="1010"/>
      <c r="B167" s="1010"/>
      <c r="C167" s="1010"/>
      <c r="D167" s="1010"/>
      <c r="E167" s="1010"/>
      <c r="F167" s="1010"/>
      <c r="G167" s="1010"/>
      <c r="H167" s="795" t="s">
        <v>2295</v>
      </c>
      <c r="I167" s="795">
        <v>107.17931</v>
      </c>
      <c r="J167" s="795">
        <v>-6.2241299999999997</v>
      </c>
      <c r="K167" s="798" t="s">
        <v>1205</v>
      </c>
      <c r="L167" s="799" t="s">
        <v>3154</v>
      </c>
      <c r="M167" s="798"/>
    </row>
    <row r="168" spans="1:13">
      <c r="A168" s="1010" t="s">
        <v>2858</v>
      </c>
      <c r="B168" s="1010" t="s">
        <v>3162</v>
      </c>
      <c r="C168" s="1010" t="s">
        <v>11</v>
      </c>
      <c r="D168" s="1010" t="s">
        <v>638</v>
      </c>
      <c r="E168" s="1010" t="s">
        <v>13</v>
      </c>
      <c r="F168" s="1010">
        <v>107.18568</v>
      </c>
      <c r="G168" s="1010">
        <v>-6.2011799999999999</v>
      </c>
      <c r="H168" s="795" t="s">
        <v>1978</v>
      </c>
      <c r="I168" s="795">
        <v>107.18568</v>
      </c>
      <c r="J168" s="795">
        <v>-6.2011799999999999</v>
      </c>
      <c r="K168" s="798" t="s">
        <v>1205</v>
      </c>
      <c r="L168" s="798" t="s">
        <v>1098</v>
      </c>
      <c r="M168" s="798"/>
    </row>
    <row r="169" spans="1:13">
      <c r="A169" s="1010"/>
      <c r="B169" s="1010"/>
      <c r="C169" s="1010"/>
      <c r="D169" s="1010"/>
      <c r="E169" s="1010"/>
      <c r="F169" s="1010"/>
      <c r="G169" s="1010"/>
      <c r="H169" s="795" t="s">
        <v>1975</v>
      </c>
      <c r="I169" s="795">
        <v>107.18865</v>
      </c>
      <c r="J169" s="795">
        <v>-6.2015900000000004</v>
      </c>
      <c r="K169" s="798" t="s">
        <v>1205</v>
      </c>
      <c r="L169" s="798" t="s">
        <v>3163</v>
      </c>
      <c r="M169" s="798"/>
    </row>
    <row r="170" spans="1:13">
      <c r="A170" s="1010"/>
      <c r="B170" s="1010"/>
      <c r="C170" s="1010"/>
      <c r="D170" s="1010"/>
      <c r="E170" s="1010"/>
      <c r="F170" s="1010"/>
      <c r="G170" s="1010"/>
      <c r="H170" s="868" t="s">
        <v>2295</v>
      </c>
      <c r="I170" s="868">
        <v>107.18704</v>
      </c>
      <c r="J170" s="868">
        <v>-6.2019799999999998</v>
      </c>
      <c r="K170" s="869" t="s">
        <v>1205</v>
      </c>
      <c r="L170" s="869" t="s">
        <v>3269</v>
      </c>
      <c r="M170" s="869"/>
    </row>
    <row r="171" spans="1:13">
      <c r="A171" s="1010"/>
      <c r="B171" s="1010"/>
      <c r="C171" s="1010"/>
      <c r="D171" s="1010"/>
      <c r="E171" s="1010"/>
      <c r="F171" s="1010"/>
      <c r="G171" s="1010"/>
      <c r="H171" s="795" t="s">
        <v>2162</v>
      </c>
      <c r="I171" s="795">
        <v>107.18420999999999</v>
      </c>
      <c r="J171" s="795">
        <v>-6.2018800000000001</v>
      </c>
      <c r="K171" s="798" t="s">
        <v>1205</v>
      </c>
      <c r="L171" s="799" t="s">
        <v>3164</v>
      </c>
      <c r="M171" s="798"/>
    </row>
    <row r="172" spans="1:13">
      <c r="A172" s="1010" t="s">
        <v>2863</v>
      </c>
      <c r="B172" s="1010" t="s">
        <v>2862</v>
      </c>
      <c r="C172" s="1010" t="s">
        <v>11</v>
      </c>
      <c r="D172" s="1010" t="s">
        <v>638</v>
      </c>
      <c r="E172" s="1010" t="s">
        <v>13</v>
      </c>
      <c r="F172" s="1010"/>
      <c r="G172" s="1010"/>
      <c r="H172" s="795" t="s">
        <v>1978</v>
      </c>
      <c r="I172" s="795">
        <v>107.1228</v>
      </c>
      <c r="J172" s="795">
        <v>-6.2466299999999997</v>
      </c>
      <c r="K172" s="798"/>
      <c r="L172" s="798" t="s">
        <v>3165</v>
      </c>
      <c r="M172" s="798"/>
    </row>
    <row r="173" spans="1:13">
      <c r="A173" s="1010"/>
      <c r="B173" s="1010"/>
      <c r="C173" s="1010"/>
      <c r="D173" s="1010"/>
      <c r="E173" s="1010"/>
      <c r="F173" s="1010"/>
      <c r="G173" s="1010"/>
      <c r="H173" s="795" t="s">
        <v>1975</v>
      </c>
      <c r="I173" s="795">
        <v>107.12627999999999</v>
      </c>
      <c r="J173" s="795">
        <v>-6.2490300000000003</v>
      </c>
      <c r="K173" s="798"/>
      <c r="L173" s="799" t="s">
        <v>3164</v>
      </c>
      <c r="M173" s="798"/>
    </row>
    <row r="174" spans="1:13">
      <c r="A174" s="1010"/>
      <c r="B174" s="1010"/>
      <c r="C174" s="1010"/>
      <c r="D174" s="1010"/>
      <c r="E174" s="1010"/>
      <c r="F174" s="1010"/>
      <c r="G174" s="1010"/>
      <c r="H174" s="795" t="s">
        <v>2162</v>
      </c>
      <c r="I174" s="795">
        <v>107.12621</v>
      </c>
      <c r="J174" s="795">
        <v>-6.2487000000000004</v>
      </c>
      <c r="K174" s="798"/>
      <c r="L174" s="799" t="s">
        <v>3164</v>
      </c>
      <c r="M174" s="798"/>
    </row>
    <row r="175" spans="1:13">
      <c r="A175" s="1010" t="s">
        <v>2864</v>
      </c>
      <c r="B175" s="1010" t="s">
        <v>2865</v>
      </c>
      <c r="C175" s="1010" t="s">
        <v>11</v>
      </c>
      <c r="D175" s="1010" t="s">
        <v>638</v>
      </c>
      <c r="E175" s="1010" t="s">
        <v>13</v>
      </c>
      <c r="F175" s="1010"/>
      <c r="G175" s="1010"/>
      <c r="H175" s="795" t="s">
        <v>1978</v>
      </c>
      <c r="I175" s="795">
        <v>107.19019</v>
      </c>
      <c r="J175" s="795">
        <v>-6.2623100000000003</v>
      </c>
      <c r="K175" s="798"/>
      <c r="L175" s="798" t="s">
        <v>3166</v>
      </c>
      <c r="M175" s="798"/>
    </row>
    <row r="176" spans="1:13">
      <c r="A176" s="1010"/>
      <c r="B176" s="1010"/>
      <c r="C176" s="1010"/>
      <c r="D176" s="1010"/>
      <c r="E176" s="1010"/>
      <c r="F176" s="1010"/>
      <c r="G176" s="1010"/>
      <c r="H176" s="795" t="s">
        <v>1975</v>
      </c>
      <c r="I176" s="795">
        <v>107.19038</v>
      </c>
      <c r="J176" s="795">
        <v>-6.2618900000000002</v>
      </c>
      <c r="K176" s="798"/>
      <c r="L176" s="798" t="s">
        <v>3166</v>
      </c>
      <c r="M176" s="798"/>
    </row>
    <row r="177" spans="1:13">
      <c r="A177" s="1010"/>
      <c r="B177" s="1010"/>
      <c r="C177" s="1010"/>
      <c r="D177" s="1010"/>
      <c r="E177" s="1010"/>
      <c r="F177" s="1010"/>
      <c r="G177" s="1010"/>
      <c r="H177" s="795" t="s">
        <v>2162</v>
      </c>
      <c r="I177" s="795">
        <v>107.18808</v>
      </c>
      <c r="J177" s="795">
        <v>-6.2619300000000004</v>
      </c>
      <c r="K177" s="798"/>
      <c r="L177" s="798" t="s">
        <v>3166</v>
      </c>
      <c r="M177" s="798"/>
    </row>
    <row r="178" spans="1:13">
      <c r="A178" s="1010"/>
      <c r="B178" s="1010"/>
      <c r="C178" s="1010"/>
      <c r="D178" s="1010"/>
      <c r="E178" s="1010"/>
      <c r="F178" s="1010"/>
      <c r="G178" s="1010"/>
      <c r="H178" s="795" t="s">
        <v>2295</v>
      </c>
      <c r="I178" s="795">
        <v>107.19059</v>
      </c>
      <c r="J178" s="795">
        <v>-6.2592600000000003</v>
      </c>
      <c r="K178" s="798" t="s">
        <v>1205</v>
      </c>
      <c r="L178" s="798" t="s">
        <v>3167</v>
      </c>
      <c r="M178" s="798"/>
    </row>
    <row r="179" spans="1:13">
      <c r="A179" s="1001" t="s">
        <v>2887</v>
      </c>
      <c r="B179" s="1001" t="s">
        <v>2886</v>
      </c>
      <c r="C179" s="1001" t="s">
        <v>11</v>
      </c>
      <c r="D179" s="1001" t="s">
        <v>26</v>
      </c>
      <c r="E179" s="1001" t="s">
        <v>13</v>
      </c>
      <c r="F179" s="1001">
        <v>106.743416</v>
      </c>
      <c r="G179" s="1001">
        <v>-6.5294119999999998</v>
      </c>
      <c r="H179" s="795" t="s">
        <v>1978</v>
      </c>
      <c r="I179" s="795">
        <v>106.7435</v>
      </c>
      <c r="J179" s="798">
        <v>-6.5293000000000001</v>
      </c>
      <c r="K179" s="815" t="s">
        <v>1205</v>
      </c>
      <c r="L179" s="815" t="s">
        <v>3168</v>
      </c>
      <c r="M179" s="804"/>
    </row>
    <row r="180" spans="1:13">
      <c r="A180" s="1002"/>
      <c r="B180" s="1002"/>
      <c r="C180" s="1002"/>
      <c r="D180" s="1002"/>
      <c r="E180" s="1002"/>
      <c r="F180" s="1002"/>
      <c r="G180" s="1002"/>
      <c r="H180" s="795" t="s">
        <v>1975</v>
      </c>
      <c r="I180" s="795">
        <v>106.74332</v>
      </c>
      <c r="J180" s="795">
        <v>-6.5291300000000003</v>
      </c>
      <c r="K180" s="815" t="s">
        <v>1205</v>
      </c>
      <c r="L180" s="815" t="s">
        <v>2342</v>
      </c>
      <c r="M180" s="804"/>
    </row>
    <row r="181" spans="1:13">
      <c r="A181" s="1002"/>
      <c r="B181" s="1002"/>
      <c r="C181" s="1002"/>
      <c r="D181" s="1002"/>
      <c r="E181" s="1002"/>
      <c r="F181" s="1002"/>
      <c r="G181" s="1002"/>
      <c r="H181" s="795" t="s">
        <v>2162</v>
      </c>
      <c r="I181" s="795">
        <v>106.74507</v>
      </c>
      <c r="J181" s="795">
        <v>6.5292300000000001</v>
      </c>
      <c r="K181" s="815" t="s">
        <v>1205</v>
      </c>
      <c r="L181" s="815" t="s">
        <v>2342</v>
      </c>
      <c r="M181" s="804"/>
    </row>
    <row r="182" spans="1:13">
      <c r="A182" s="1003"/>
      <c r="B182" s="1003"/>
      <c r="C182" s="1003"/>
      <c r="D182" s="1003"/>
      <c r="E182" s="1003"/>
      <c r="F182" s="1003"/>
      <c r="G182" s="1003"/>
      <c r="H182" s="814" t="s">
        <v>2295</v>
      </c>
      <c r="I182" s="814">
        <v>106.7433</v>
      </c>
      <c r="J182" s="814">
        <v>-6.5291100000000002</v>
      </c>
      <c r="K182" s="815" t="s">
        <v>1205</v>
      </c>
      <c r="L182" s="799" t="s">
        <v>3154</v>
      </c>
      <c r="M182" s="804"/>
    </row>
    <row r="183" spans="1:13">
      <c r="A183" s="798" t="s">
        <v>2920</v>
      </c>
      <c r="B183" s="798" t="s">
        <v>2921</v>
      </c>
      <c r="C183" s="803" t="s">
        <v>11</v>
      </c>
      <c r="D183" s="803" t="s">
        <v>19</v>
      </c>
      <c r="E183" s="803" t="s">
        <v>20</v>
      </c>
      <c r="F183" s="803">
        <v>106.62031</v>
      </c>
      <c r="G183" s="803">
        <v>-6.3563599999999996</v>
      </c>
      <c r="H183" s="795" t="s">
        <v>1978</v>
      </c>
      <c r="I183" s="798">
        <v>106.62048</v>
      </c>
      <c r="J183" s="798">
        <v>-6.3567</v>
      </c>
      <c r="K183" s="815"/>
      <c r="L183" s="815"/>
      <c r="M183" s="804"/>
    </row>
    <row r="184" spans="1:13">
      <c r="A184" s="1001" t="s">
        <v>2910</v>
      </c>
      <c r="B184" s="1001" t="s">
        <v>2911</v>
      </c>
      <c r="C184" s="1010" t="s">
        <v>11</v>
      </c>
      <c r="D184" s="1001" t="s">
        <v>638</v>
      </c>
      <c r="E184" s="1010" t="s">
        <v>13</v>
      </c>
      <c r="F184" s="1007"/>
      <c r="G184" s="1007"/>
      <c r="H184" s="804"/>
      <c r="I184" s="798">
        <v>107.26785</v>
      </c>
      <c r="J184" s="798">
        <v>-6.2307800000000002</v>
      </c>
      <c r="K184" s="815"/>
      <c r="L184" s="814" t="s">
        <v>2089</v>
      </c>
      <c r="M184" s="804"/>
    </row>
    <row r="185" spans="1:13">
      <c r="A185" s="1002"/>
      <c r="B185" s="1002"/>
      <c r="C185" s="1010"/>
      <c r="D185" s="1002"/>
      <c r="E185" s="1010"/>
      <c r="F185" s="1008"/>
      <c r="G185" s="1008"/>
      <c r="H185" s="804"/>
      <c r="I185" s="805">
        <v>107.26676</v>
      </c>
      <c r="J185" s="805">
        <v>-6.23475</v>
      </c>
      <c r="K185" s="815"/>
      <c r="L185" s="814" t="s">
        <v>3169</v>
      </c>
      <c r="M185" s="804"/>
    </row>
    <row r="186" spans="1:13">
      <c r="A186" s="1003"/>
      <c r="B186" s="1003"/>
      <c r="C186" s="1010"/>
      <c r="D186" s="1003"/>
      <c r="E186" s="1010"/>
      <c r="F186" s="1009"/>
      <c r="G186" s="1009"/>
      <c r="H186" s="804"/>
      <c r="I186" s="805">
        <v>107.26519999999999</v>
      </c>
      <c r="J186" s="805">
        <v>-6.2304899999999996</v>
      </c>
      <c r="K186" s="815"/>
      <c r="L186" s="806" t="s">
        <v>3164</v>
      </c>
      <c r="M186" s="804"/>
    </row>
    <row r="187" spans="1:13">
      <c r="A187" s="1001" t="s">
        <v>2912</v>
      </c>
      <c r="B187" s="1001" t="s">
        <v>2913</v>
      </c>
      <c r="C187" s="1001" t="s">
        <v>11</v>
      </c>
      <c r="D187" s="1001" t="s">
        <v>26</v>
      </c>
      <c r="E187" s="1001" t="s">
        <v>13</v>
      </c>
      <c r="F187" s="1001">
        <v>106.63531</v>
      </c>
      <c r="G187" s="1001">
        <v>-6.3771800000000001</v>
      </c>
      <c r="H187" s="908" t="s">
        <v>1978</v>
      </c>
      <c r="I187" s="907">
        <v>106.63531</v>
      </c>
      <c r="J187" s="907">
        <v>-6.3771800000000001</v>
      </c>
      <c r="K187" s="815"/>
      <c r="L187" s="815" t="s">
        <v>3350</v>
      </c>
      <c r="M187" s="804"/>
    </row>
    <row r="188" spans="1:13">
      <c r="A188" s="1003"/>
      <c r="B188" s="1003"/>
      <c r="C188" s="1003"/>
      <c r="D188" s="1003"/>
      <c r="E188" s="1003"/>
      <c r="F188" s="1003"/>
      <c r="G188" s="1003"/>
      <c r="H188" s="908" t="s">
        <v>1975</v>
      </c>
      <c r="I188" s="907">
        <v>106.63679999999999</v>
      </c>
      <c r="J188" s="907">
        <v>-6.37791</v>
      </c>
      <c r="K188" s="907"/>
      <c r="L188" s="799" t="s">
        <v>3154</v>
      </c>
      <c r="M188" s="804"/>
    </row>
    <row r="189" spans="1:13">
      <c r="A189" s="1001" t="s">
        <v>2924</v>
      </c>
      <c r="B189" s="1001" t="s">
        <v>2925</v>
      </c>
      <c r="C189" s="1010" t="s">
        <v>5</v>
      </c>
      <c r="D189" s="1007" t="s">
        <v>35</v>
      </c>
      <c r="E189" s="1007" t="s">
        <v>7</v>
      </c>
      <c r="F189" s="1007"/>
      <c r="G189" s="1007"/>
      <c r="H189" s="804"/>
      <c r="I189" s="798">
        <v>106.92786</v>
      </c>
      <c r="J189" s="798">
        <v>-6.1882599999999996</v>
      </c>
      <c r="K189" s="815"/>
      <c r="L189" s="814" t="s">
        <v>3170</v>
      </c>
      <c r="M189" s="804"/>
    </row>
    <row r="190" spans="1:13">
      <c r="A190" s="1002"/>
      <c r="B190" s="1002"/>
      <c r="C190" s="1010"/>
      <c r="D190" s="1008"/>
      <c r="E190" s="1008"/>
      <c r="F190" s="1008"/>
      <c r="G190" s="1008"/>
      <c r="H190" s="804"/>
      <c r="I190" s="805">
        <v>106.92358</v>
      </c>
      <c r="J190" s="805">
        <v>-6.1893799999999999</v>
      </c>
      <c r="K190" s="815"/>
      <c r="L190" s="814" t="s">
        <v>3171</v>
      </c>
      <c r="M190" s="804"/>
    </row>
    <row r="191" spans="1:13">
      <c r="A191" s="1003"/>
      <c r="B191" s="1003"/>
      <c r="C191" s="1010"/>
      <c r="D191" s="1009"/>
      <c r="E191" s="1009"/>
      <c r="F191" s="1009"/>
      <c r="G191" s="1009"/>
      <c r="H191" s="804"/>
      <c r="I191" s="805">
        <v>106.92519</v>
      </c>
      <c r="J191" s="805">
        <v>-6.1892500000000004</v>
      </c>
      <c r="K191" s="815"/>
      <c r="L191" s="806" t="s">
        <v>3154</v>
      </c>
      <c r="M191" s="804"/>
    </row>
    <row r="192" spans="1:13">
      <c r="A192" s="798" t="s">
        <v>2914</v>
      </c>
      <c r="B192" s="798" t="s">
        <v>2915</v>
      </c>
      <c r="C192" s="804"/>
      <c r="D192" s="804"/>
      <c r="E192" s="804"/>
      <c r="F192" s="804"/>
      <c r="G192" s="804"/>
      <c r="H192" s="804"/>
      <c r="I192" s="803"/>
      <c r="J192" s="803"/>
      <c r="K192" s="815"/>
      <c r="L192" s="815"/>
      <c r="M192" s="804"/>
    </row>
    <row r="193" spans="1:13">
      <c r="A193" s="1019" t="s">
        <v>2928</v>
      </c>
      <c r="B193" s="1001" t="s">
        <v>2929</v>
      </c>
      <c r="C193" s="1001" t="s">
        <v>11</v>
      </c>
      <c r="D193" s="1001" t="s">
        <v>638</v>
      </c>
      <c r="E193" s="1001" t="s">
        <v>13</v>
      </c>
      <c r="F193" s="1001">
        <v>107.21253</v>
      </c>
      <c r="G193" s="1001">
        <v>-6.39968</v>
      </c>
      <c r="H193" s="803" t="s">
        <v>1978</v>
      </c>
      <c r="I193" s="809">
        <v>107.21254999999999</v>
      </c>
      <c r="J193" s="810">
        <v>-6.3997599999999997</v>
      </c>
      <c r="K193" s="816"/>
      <c r="L193" s="799" t="s">
        <v>3164</v>
      </c>
      <c r="M193" s="804"/>
    </row>
    <row r="194" spans="1:13">
      <c r="A194" s="1020"/>
      <c r="B194" s="1003"/>
      <c r="C194" s="1003"/>
      <c r="D194" s="1003"/>
      <c r="E194" s="1003"/>
      <c r="F194" s="1003"/>
      <c r="G194" s="1003"/>
      <c r="H194" s="803" t="s">
        <v>1975</v>
      </c>
      <c r="I194" s="809">
        <v>107.20466999999999</v>
      </c>
      <c r="J194" s="810">
        <v>-6.4012099999999998</v>
      </c>
      <c r="K194" s="869" t="s">
        <v>1208</v>
      </c>
      <c r="L194" s="815" t="s">
        <v>3270</v>
      </c>
      <c r="M194" s="804"/>
    </row>
    <row r="195" spans="1:13">
      <c r="A195" s="1001" t="s">
        <v>2916</v>
      </c>
      <c r="B195" s="1001" t="s">
        <v>2917</v>
      </c>
      <c r="C195" s="1001" t="s">
        <v>11</v>
      </c>
      <c r="D195" s="1001" t="s">
        <v>659</v>
      </c>
      <c r="E195" s="1001" t="s">
        <v>13</v>
      </c>
      <c r="F195" s="1019">
        <v>106.76275099999999</v>
      </c>
      <c r="G195" s="1001">
        <v>-6.5590809999999999</v>
      </c>
      <c r="H195" s="871" t="s">
        <v>1978</v>
      </c>
      <c r="I195" s="871">
        <v>106.76345999999999</v>
      </c>
      <c r="J195" s="871">
        <v>-6.55816</v>
      </c>
      <c r="K195" s="871" t="s">
        <v>1208</v>
      </c>
      <c r="L195" s="815" t="s">
        <v>3272</v>
      </c>
      <c r="M195" s="804"/>
    </row>
    <row r="196" spans="1:13">
      <c r="A196" s="1002"/>
      <c r="B196" s="1002"/>
      <c r="C196" s="1002"/>
      <c r="D196" s="1002"/>
      <c r="E196" s="1002"/>
      <c r="F196" s="1021"/>
      <c r="G196" s="1002"/>
      <c r="H196" s="909" t="s">
        <v>1975</v>
      </c>
      <c r="I196" s="909">
        <v>106.76463</v>
      </c>
      <c r="J196" s="909">
        <v>-6.5609999999999999</v>
      </c>
      <c r="K196" s="909" t="s">
        <v>1208</v>
      </c>
      <c r="L196" s="909"/>
      <c r="M196" s="804"/>
    </row>
    <row r="197" spans="1:13">
      <c r="A197" s="1002"/>
      <c r="B197" s="1002"/>
      <c r="C197" s="1002"/>
      <c r="D197" s="1002"/>
      <c r="E197" s="1002"/>
      <c r="F197" s="1021"/>
      <c r="G197" s="1002"/>
      <c r="H197" s="942" t="s">
        <v>2162</v>
      </c>
      <c r="I197" s="942">
        <v>106.76251999999999</v>
      </c>
      <c r="J197" s="942">
        <v>-6.5552999999999999</v>
      </c>
      <c r="K197" s="942" t="s">
        <v>1208</v>
      </c>
      <c r="L197" s="942" t="s">
        <v>3154</v>
      </c>
      <c r="M197" s="804"/>
    </row>
    <row r="198" spans="1:13">
      <c r="A198" s="1003"/>
      <c r="B198" s="1003"/>
      <c r="C198" s="1003"/>
      <c r="D198" s="1003"/>
      <c r="E198" s="1003"/>
      <c r="F198" s="1020"/>
      <c r="G198" s="1003"/>
      <c r="H198" s="942" t="s">
        <v>2295</v>
      </c>
      <c r="I198" s="942">
        <v>106.764768</v>
      </c>
      <c r="J198" s="942">
        <v>-6.5597519999999996</v>
      </c>
      <c r="K198" s="942" t="s">
        <v>1208</v>
      </c>
      <c r="L198" s="806" t="s">
        <v>3164</v>
      </c>
      <c r="M198" s="804"/>
    </row>
    <row r="199" spans="1:13">
      <c r="A199" s="798" t="s">
        <v>2932</v>
      </c>
      <c r="B199" s="798" t="s">
        <v>2933</v>
      </c>
      <c r="C199" s="804" t="s">
        <v>11</v>
      </c>
      <c r="D199" s="804" t="s">
        <v>638</v>
      </c>
      <c r="E199" s="804" t="s">
        <v>13</v>
      </c>
      <c r="F199" s="804">
        <v>107.08378</v>
      </c>
      <c r="G199" s="804">
        <v>-6.4050700000000003</v>
      </c>
      <c r="H199" s="804" t="s">
        <v>1978</v>
      </c>
      <c r="I199" s="803">
        <v>-6.4050700000000003</v>
      </c>
      <c r="J199" s="803">
        <v>107.08378</v>
      </c>
      <c r="K199" s="871" t="s">
        <v>1208</v>
      </c>
      <c r="L199" s="815" t="s">
        <v>3313</v>
      </c>
      <c r="M199" s="804"/>
    </row>
    <row r="200" spans="1:13">
      <c r="A200" s="798" t="s">
        <v>2918</v>
      </c>
      <c r="B200" s="798" t="s">
        <v>2919</v>
      </c>
      <c r="C200" s="804"/>
      <c r="D200" s="804"/>
      <c r="E200" s="804"/>
      <c r="F200" s="804"/>
      <c r="G200" s="804"/>
      <c r="H200" s="804"/>
      <c r="I200" s="803"/>
      <c r="J200" s="803"/>
      <c r="K200" s="815"/>
      <c r="L200" s="815"/>
      <c r="M200" s="804"/>
    </row>
    <row r="201" spans="1:13">
      <c r="A201" s="1001" t="s">
        <v>2936</v>
      </c>
      <c r="B201" s="1001" t="s">
        <v>2937</v>
      </c>
      <c r="C201" s="1001" t="s">
        <v>11</v>
      </c>
      <c r="D201" s="1001" t="s">
        <v>26</v>
      </c>
      <c r="E201" s="1001" t="s">
        <v>13</v>
      </c>
      <c r="F201" s="1001" t="s">
        <v>3173</v>
      </c>
      <c r="G201" s="1004" t="s">
        <v>3174</v>
      </c>
      <c r="H201" s="804" t="s">
        <v>1978</v>
      </c>
      <c r="I201" s="798">
        <v>106.61208000000001</v>
      </c>
      <c r="J201" s="798">
        <v>-6.3875200000000003</v>
      </c>
      <c r="K201" s="804" t="s">
        <v>1208</v>
      </c>
      <c r="L201" s="811" t="s">
        <v>3170</v>
      </c>
      <c r="M201" s="804"/>
    </row>
    <row r="202" spans="1:13">
      <c r="A202" s="1002"/>
      <c r="B202" s="1002"/>
      <c r="C202" s="1002"/>
      <c r="D202" s="1002"/>
      <c r="E202" s="1002"/>
      <c r="F202" s="1002"/>
      <c r="G202" s="1005"/>
      <c r="H202" s="804" t="s">
        <v>1975</v>
      </c>
      <c r="I202" s="803">
        <v>106.61019</v>
      </c>
      <c r="J202" s="803">
        <f>-6.38655</f>
        <v>-6.3865499999999997</v>
      </c>
      <c r="K202" s="804" t="s">
        <v>1208</v>
      </c>
      <c r="L202" s="867" t="s">
        <v>3267</v>
      </c>
      <c r="M202" s="804"/>
    </row>
    <row r="203" spans="1:13">
      <c r="A203" s="1003"/>
      <c r="B203" s="1003"/>
      <c r="C203" s="1003"/>
      <c r="D203" s="1003"/>
      <c r="E203" s="1003"/>
      <c r="F203" s="1003"/>
      <c r="G203" s="1006"/>
      <c r="H203" s="804" t="s">
        <v>2162</v>
      </c>
      <c r="I203" s="803">
        <v>106.61203999999999</v>
      </c>
      <c r="J203" s="803">
        <v>-6.3858699999999997</v>
      </c>
      <c r="K203" s="804" t="s">
        <v>1208</v>
      </c>
      <c r="L203" s="812" t="s">
        <v>3164</v>
      </c>
      <c r="M203" s="804"/>
    </row>
    <row r="204" spans="1:13">
      <c r="A204" s="1001" t="s">
        <v>2922</v>
      </c>
      <c r="B204" s="1001" t="s">
        <v>2923</v>
      </c>
      <c r="C204" s="1001" t="s">
        <v>11</v>
      </c>
      <c r="D204" s="1001" t="s">
        <v>26</v>
      </c>
      <c r="E204" s="1001" t="s">
        <v>13</v>
      </c>
      <c r="F204" s="1001">
        <v>106.54474</v>
      </c>
      <c r="G204" s="1001">
        <v>-6.43032</v>
      </c>
      <c r="H204" s="804" t="s">
        <v>1978</v>
      </c>
      <c r="I204" s="798">
        <v>106.54474</v>
      </c>
      <c r="J204" s="798">
        <v>-6.43032</v>
      </c>
      <c r="K204" s="804" t="s">
        <v>1208</v>
      </c>
      <c r="L204" s="811" t="s">
        <v>2089</v>
      </c>
      <c r="M204" s="804"/>
    </row>
    <row r="205" spans="1:13">
      <c r="A205" s="1002"/>
      <c r="B205" s="1002"/>
      <c r="C205" s="1002"/>
      <c r="D205" s="1002"/>
      <c r="E205" s="1002"/>
      <c r="F205" s="1002"/>
      <c r="G205" s="1002"/>
      <c r="H205" s="804" t="s">
        <v>1975</v>
      </c>
      <c r="I205" s="803">
        <v>106.54572</v>
      </c>
      <c r="J205" s="803">
        <v>-6.4326499999999998</v>
      </c>
      <c r="K205" s="804" t="s">
        <v>1208</v>
      </c>
      <c r="L205" s="867" t="s">
        <v>3357</v>
      </c>
      <c r="M205" s="804"/>
    </row>
    <row r="206" spans="1:13">
      <c r="A206" s="1002"/>
      <c r="B206" s="1002"/>
      <c r="C206" s="1002"/>
      <c r="D206" s="1002"/>
      <c r="E206" s="1002"/>
      <c r="F206" s="1002"/>
      <c r="G206" s="1002"/>
      <c r="H206" s="804" t="s">
        <v>2162</v>
      </c>
      <c r="I206" s="803">
        <v>106.54553</v>
      </c>
      <c r="J206" s="803">
        <v>-6.4287700000000001</v>
      </c>
      <c r="K206" s="804" t="s">
        <v>1208</v>
      </c>
      <c r="L206" s="867" t="s">
        <v>2342</v>
      </c>
      <c r="M206" s="804"/>
    </row>
    <row r="207" spans="1:13">
      <c r="A207" s="1003"/>
      <c r="B207" s="1003"/>
      <c r="C207" s="1003"/>
      <c r="D207" s="1003"/>
      <c r="E207" s="1003"/>
      <c r="F207" s="1003"/>
      <c r="G207" s="1003"/>
      <c r="H207" s="804" t="s">
        <v>2295</v>
      </c>
      <c r="I207" s="803">
        <v>106.54321</v>
      </c>
      <c r="J207" s="803">
        <v>-6.4318400000000002</v>
      </c>
      <c r="K207" s="804" t="s">
        <v>1208</v>
      </c>
      <c r="L207" s="812" t="s">
        <v>3164</v>
      </c>
      <c r="M207" s="804"/>
    </row>
    <row r="208" spans="1:13">
      <c r="A208" s="804" t="s">
        <v>3305</v>
      </c>
      <c r="B208" s="804" t="s">
        <v>3304</v>
      </c>
      <c r="C208" s="804" t="s">
        <v>5</v>
      </c>
      <c r="D208" s="804" t="s">
        <v>26</v>
      </c>
      <c r="E208" s="804" t="s">
        <v>13</v>
      </c>
      <c r="F208" s="804"/>
      <c r="G208" s="804"/>
      <c r="H208" s="804"/>
      <c r="I208" s="804"/>
      <c r="J208" s="804"/>
      <c r="K208" s="804"/>
      <c r="L208" s="804"/>
      <c r="M208" s="804"/>
    </row>
    <row r="209" spans="1:12" ht="15.75" thickBot="1">
      <c r="A209" s="998" t="s">
        <v>2887</v>
      </c>
      <c r="B209" s="998" t="s">
        <v>2886</v>
      </c>
      <c r="C209" s="998" t="s">
        <v>11</v>
      </c>
      <c r="D209" s="998" t="s">
        <v>26</v>
      </c>
      <c r="E209" s="998" t="s">
        <v>13</v>
      </c>
      <c r="F209" s="998">
        <v>106.743416</v>
      </c>
      <c r="G209" s="998">
        <v>-6.5294119999999998</v>
      </c>
      <c r="H209" s="879" t="s">
        <v>1978</v>
      </c>
      <c r="I209" s="879">
        <v>106.7435</v>
      </c>
      <c r="J209" s="879">
        <v>-6.5293000000000001</v>
      </c>
      <c r="K209" s="879" t="s">
        <v>1205</v>
      </c>
      <c r="L209" s="879" t="s">
        <v>3310</v>
      </c>
    </row>
    <row r="210" spans="1:12" ht="15.75" thickBot="1">
      <c r="A210" s="999"/>
      <c r="B210" s="999"/>
      <c r="C210" s="999"/>
      <c r="D210" s="999"/>
      <c r="E210" s="999"/>
      <c r="F210" s="999"/>
      <c r="G210" s="999"/>
      <c r="H210" s="879" t="s">
        <v>1975</v>
      </c>
      <c r="I210" s="879">
        <v>106.74332</v>
      </c>
      <c r="J210" s="879">
        <v>-6.5291300000000003</v>
      </c>
      <c r="K210" s="879" t="s">
        <v>1205</v>
      </c>
      <c r="L210" s="879" t="s">
        <v>2342</v>
      </c>
    </row>
    <row r="211" spans="1:12" ht="15.75" thickBot="1">
      <c r="A211" s="999"/>
      <c r="B211" s="999"/>
      <c r="C211" s="999"/>
      <c r="D211" s="999"/>
      <c r="E211" s="999"/>
      <c r="F211" s="999"/>
      <c r="G211" s="999"/>
      <c r="H211" s="879" t="s">
        <v>2162</v>
      </c>
      <c r="I211" s="879">
        <v>106.74507</v>
      </c>
      <c r="J211" s="879">
        <v>6.5292300000000001</v>
      </c>
      <c r="K211" s="879" t="s">
        <v>1205</v>
      </c>
      <c r="L211" s="879" t="s">
        <v>2342</v>
      </c>
    </row>
    <row r="212" spans="1:12" ht="15.75" thickBot="1">
      <c r="A212" s="1000"/>
      <c r="B212" s="1000"/>
      <c r="C212" s="1000"/>
      <c r="D212" s="1000"/>
      <c r="E212" s="1000"/>
      <c r="F212" s="1000"/>
      <c r="G212" s="1000"/>
      <c r="H212" s="879" t="s">
        <v>2295</v>
      </c>
      <c r="I212" s="879">
        <v>106.7433</v>
      </c>
      <c r="J212" s="879">
        <v>-6.5291100000000002</v>
      </c>
      <c r="K212" s="879" t="s">
        <v>1205</v>
      </c>
      <c r="L212" s="880" t="s">
        <v>3311</v>
      </c>
    </row>
    <row r="213" spans="1:12">
      <c r="A213" s="1001" t="s">
        <v>2926</v>
      </c>
      <c r="B213" s="1001" t="s">
        <v>2927</v>
      </c>
      <c r="C213" s="1010" t="s">
        <v>11</v>
      </c>
      <c r="D213" s="1001" t="s">
        <v>638</v>
      </c>
      <c r="E213" s="1010" t="s">
        <v>13</v>
      </c>
      <c r="F213" s="1001">
        <v>107.24269</v>
      </c>
      <c r="G213" s="1001">
        <v>-6.2515099999999997</v>
      </c>
      <c r="H213" s="804" t="s">
        <v>1978</v>
      </c>
      <c r="I213" s="805">
        <v>107.23591999999999</v>
      </c>
      <c r="J213" s="805">
        <v>-6.2506300000000001</v>
      </c>
      <c r="K213" s="805" t="s">
        <v>1208</v>
      </c>
      <c r="L213" s="806" t="s">
        <v>2342</v>
      </c>
    </row>
    <row r="214" spans="1:12">
      <c r="A214" s="1002"/>
      <c r="B214" s="1002"/>
      <c r="C214" s="1010"/>
      <c r="D214" s="1002"/>
      <c r="E214" s="1010"/>
      <c r="F214" s="1002"/>
      <c r="G214" s="1002"/>
      <c r="H214" s="804" t="s">
        <v>1975</v>
      </c>
      <c r="I214" s="805">
        <v>107.23537</v>
      </c>
      <c r="J214" s="805">
        <v>-6.2504499999999998</v>
      </c>
      <c r="K214" s="805" t="s">
        <v>1208</v>
      </c>
      <c r="L214" s="806" t="s">
        <v>2342</v>
      </c>
    </row>
    <row r="215" spans="1:12">
      <c r="A215" s="1002"/>
      <c r="B215" s="1002"/>
      <c r="C215" s="1010"/>
      <c r="D215" s="1002"/>
      <c r="E215" s="1010"/>
      <c r="F215" s="1002"/>
      <c r="G215" s="1002"/>
      <c r="H215" s="804" t="s">
        <v>2162</v>
      </c>
      <c r="I215" s="805">
        <v>107.23560999999999</v>
      </c>
      <c r="J215" s="805">
        <v>-6.2526000000000002</v>
      </c>
      <c r="K215" s="805" t="s">
        <v>1208</v>
      </c>
      <c r="L215" s="806" t="s">
        <v>2342</v>
      </c>
    </row>
    <row r="216" spans="1:12">
      <c r="A216" s="1003"/>
      <c r="B216" s="1003"/>
      <c r="C216" s="1010"/>
      <c r="D216" s="1003"/>
      <c r="E216" s="1010"/>
      <c r="F216" s="1003"/>
      <c r="G216" s="1003"/>
      <c r="H216" s="804" t="s">
        <v>2295</v>
      </c>
      <c r="I216" s="805">
        <v>107.24274</v>
      </c>
      <c r="J216" s="805">
        <v>-6.2515400000000003</v>
      </c>
      <c r="K216" s="805" t="s">
        <v>1208</v>
      </c>
      <c r="L216" s="799" t="s">
        <v>3164</v>
      </c>
    </row>
    <row r="217" spans="1:12">
      <c r="A217" s="1023" t="s">
        <v>2930</v>
      </c>
      <c r="B217" s="1023" t="s">
        <v>2931</v>
      </c>
      <c r="C217" s="1010" t="s">
        <v>11</v>
      </c>
      <c r="D217" s="1010" t="s">
        <v>53</v>
      </c>
      <c r="E217" s="1010" t="s">
        <v>13</v>
      </c>
      <c r="F217" s="1010">
        <v>106.97097599999999</v>
      </c>
      <c r="G217" s="1010">
        <v>-6.2552260000000004</v>
      </c>
      <c r="H217" s="886" t="s">
        <v>1978</v>
      </c>
      <c r="I217" s="886">
        <v>106.97172999999999</v>
      </c>
      <c r="J217" s="886">
        <v>-6.2546999999999997</v>
      </c>
      <c r="K217" s="809" t="s">
        <v>1382</v>
      </c>
      <c r="L217" s="887" t="s">
        <v>3317</v>
      </c>
    </row>
    <row r="218" spans="1:12">
      <c r="A218" s="1023"/>
      <c r="B218" s="1023"/>
      <c r="C218" s="1010"/>
      <c r="D218" s="1010"/>
      <c r="E218" s="1010"/>
      <c r="F218" s="1010"/>
      <c r="G218" s="1010"/>
      <c r="H218" s="809" t="s">
        <v>1975</v>
      </c>
      <c r="I218" s="809" t="s">
        <v>3318</v>
      </c>
      <c r="J218" s="809">
        <v>-6.2514599999999998</v>
      </c>
      <c r="K218" s="809" t="s">
        <v>1382</v>
      </c>
      <c r="L218" s="799" t="s">
        <v>3164</v>
      </c>
    </row>
    <row r="219" spans="1:12">
      <c r="A219" s="1023"/>
      <c r="B219" s="1023"/>
      <c r="C219" s="1010"/>
      <c r="D219" s="1010"/>
      <c r="E219" s="1010"/>
      <c r="F219" s="1010"/>
      <c r="G219" s="1010"/>
      <c r="I219" s="936">
        <v>106.97314</v>
      </c>
      <c r="J219" s="936">
        <v>-6.2536300000000002</v>
      </c>
      <c r="K219" s="934" t="s">
        <v>1382</v>
      </c>
    </row>
    <row r="220" spans="1:12">
      <c r="A220" s="1010" t="s">
        <v>2934</v>
      </c>
      <c r="B220" s="1010" t="s">
        <v>2935</v>
      </c>
      <c r="C220" s="1010" t="s">
        <v>5</v>
      </c>
      <c r="D220" s="1010" t="s">
        <v>53</v>
      </c>
      <c r="E220" s="1010" t="s">
        <v>13</v>
      </c>
      <c r="F220" s="1022">
        <v>106.97316600000001</v>
      </c>
      <c r="G220" s="1022">
        <v>-6.2446039999999998</v>
      </c>
      <c r="H220" s="886" t="s">
        <v>1978</v>
      </c>
      <c r="I220" s="886">
        <v>106.97359</v>
      </c>
      <c r="J220" s="886">
        <v>-6.2449599999999998</v>
      </c>
      <c r="K220" s="886" t="s">
        <v>1208</v>
      </c>
      <c r="L220" s="886" t="s">
        <v>2342</v>
      </c>
    </row>
    <row r="221" spans="1:12">
      <c r="A221" s="1010"/>
      <c r="B221" s="1010"/>
      <c r="C221" s="1010"/>
      <c r="D221" s="1010"/>
      <c r="E221" s="1010"/>
      <c r="F221" s="1022"/>
      <c r="G221" s="1022"/>
      <c r="H221" s="886" t="s">
        <v>1975</v>
      </c>
      <c r="I221" s="886">
        <v>106.97484</v>
      </c>
      <c r="J221" s="886">
        <v>-6.2418800000000001</v>
      </c>
      <c r="K221" s="886" t="s">
        <v>1382</v>
      </c>
      <c r="L221" s="799" t="s">
        <v>2342</v>
      </c>
    </row>
    <row r="222" spans="1:12">
      <c r="A222" s="1010"/>
      <c r="B222" s="1010"/>
      <c r="C222" s="1010"/>
      <c r="D222" s="1010"/>
      <c r="E222" s="1010"/>
      <c r="F222" s="1022"/>
      <c r="G222" s="1022"/>
      <c r="H222" s="809" t="s">
        <v>2162</v>
      </c>
      <c r="I222" s="809">
        <v>106.97348</v>
      </c>
      <c r="J222" s="809">
        <v>-6.2452199999999998</v>
      </c>
      <c r="K222" s="886" t="s">
        <v>1382</v>
      </c>
      <c r="L222" s="799" t="s">
        <v>3164</v>
      </c>
    </row>
  </sheetData>
  <autoFilter ref="A1:L222" xr:uid="{00000000-0009-0000-0000-000002000000}"/>
  <mergeCells count="397">
    <mergeCell ref="A220:A222"/>
    <mergeCell ref="B220:B222"/>
    <mergeCell ref="C220:C222"/>
    <mergeCell ref="D220:D222"/>
    <mergeCell ref="E220:E222"/>
    <mergeCell ref="F220:F222"/>
    <mergeCell ref="G220:G222"/>
    <mergeCell ref="A213:A216"/>
    <mergeCell ref="B213:B216"/>
    <mergeCell ref="C213:C216"/>
    <mergeCell ref="D213:D216"/>
    <mergeCell ref="E213:E216"/>
    <mergeCell ref="F213:F216"/>
    <mergeCell ref="G213:G216"/>
    <mergeCell ref="A217:A219"/>
    <mergeCell ref="B217:B219"/>
    <mergeCell ref="C217:C219"/>
    <mergeCell ref="D217:D219"/>
    <mergeCell ref="E217:E219"/>
    <mergeCell ref="F217:F219"/>
    <mergeCell ref="G217:G219"/>
    <mergeCell ref="A193:A194"/>
    <mergeCell ref="B193:B194"/>
    <mergeCell ref="C193:C194"/>
    <mergeCell ref="D193:D194"/>
    <mergeCell ref="E193:E194"/>
    <mergeCell ref="F193:F194"/>
    <mergeCell ref="G193:G194"/>
    <mergeCell ref="F195:F198"/>
    <mergeCell ref="G195:G198"/>
    <mergeCell ref="E195:E198"/>
    <mergeCell ref="D195:D198"/>
    <mergeCell ref="C195:C198"/>
    <mergeCell ref="B195:B198"/>
    <mergeCell ref="A195:A198"/>
    <mergeCell ref="G2:G6"/>
    <mergeCell ref="A7:A9"/>
    <mergeCell ref="B7:B9"/>
    <mergeCell ref="C7:C9"/>
    <mergeCell ref="D7:D9"/>
    <mergeCell ref="E7:E9"/>
    <mergeCell ref="F7:F9"/>
    <mergeCell ref="G7:G9"/>
    <mergeCell ref="A2:A6"/>
    <mergeCell ref="B2:B6"/>
    <mergeCell ref="C2:C6"/>
    <mergeCell ref="D2:D6"/>
    <mergeCell ref="E2:E6"/>
    <mergeCell ref="F2:F6"/>
    <mergeCell ref="G10:G11"/>
    <mergeCell ref="A12:A18"/>
    <mergeCell ref="B12:B18"/>
    <mergeCell ref="C12:C18"/>
    <mergeCell ref="D12:D18"/>
    <mergeCell ref="E12:E18"/>
    <mergeCell ref="F12:F18"/>
    <mergeCell ref="G12:G18"/>
    <mergeCell ref="A10:A11"/>
    <mergeCell ref="B10:B11"/>
    <mergeCell ref="C10:C11"/>
    <mergeCell ref="D10:D11"/>
    <mergeCell ref="E10:E11"/>
    <mergeCell ref="F10:F11"/>
    <mergeCell ref="G19:G20"/>
    <mergeCell ref="A21:A24"/>
    <mergeCell ref="B21:B24"/>
    <mergeCell ref="C21:C24"/>
    <mergeCell ref="D21:D24"/>
    <mergeCell ref="E21:E24"/>
    <mergeCell ref="F21:F24"/>
    <mergeCell ref="G21:G24"/>
    <mergeCell ref="A19:A20"/>
    <mergeCell ref="B19:B20"/>
    <mergeCell ref="C19:C20"/>
    <mergeCell ref="D19:D20"/>
    <mergeCell ref="E19:E20"/>
    <mergeCell ref="F19:F20"/>
    <mergeCell ref="G25:G26"/>
    <mergeCell ref="A27:A30"/>
    <mergeCell ref="B27:B30"/>
    <mergeCell ref="C27:C30"/>
    <mergeCell ref="D27:D30"/>
    <mergeCell ref="E27:E30"/>
    <mergeCell ref="F27:F30"/>
    <mergeCell ref="G27:G30"/>
    <mergeCell ref="A25:A26"/>
    <mergeCell ref="B25:B26"/>
    <mergeCell ref="C25:C26"/>
    <mergeCell ref="D25:D26"/>
    <mergeCell ref="E25:E26"/>
    <mergeCell ref="F25:F26"/>
    <mergeCell ref="G31:G34"/>
    <mergeCell ref="A36:A37"/>
    <mergeCell ref="B36:B37"/>
    <mergeCell ref="C36:C37"/>
    <mergeCell ref="D36:D37"/>
    <mergeCell ref="E36:E37"/>
    <mergeCell ref="A31:A34"/>
    <mergeCell ref="B31:B34"/>
    <mergeCell ref="C31:C34"/>
    <mergeCell ref="D31:D34"/>
    <mergeCell ref="E31:E34"/>
    <mergeCell ref="F31:F34"/>
    <mergeCell ref="G38:G44"/>
    <mergeCell ref="A45:A46"/>
    <mergeCell ref="B45:B46"/>
    <mergeCell ref="C45:C46"/>
    <mergeCell ref="D45:D46"/>
    <mergeCell ref="E45:E46"/>
    <mergeCell ref="F45:F46"/>
    <mergeCell ref="G45:G46"/>
    <mergeCell ref="A38:A44"/>
    <mergeCell ref="B38:B44"/>
    <mergeCell ref="C38:C44"/>
    <mergeCell ref="D38:D44"/>
    <mergeCell ref="E38:E44"/>
    <mergeCell ref="F38:F44"/>
    <mergeCell ref="G47:G50"/>
    <mergeCell ref="A51:A59"/>
    <mergeCell ref="B51:B59"/>
    <mergeCell ref="C51:C59"/>
    <mergeCell ref="D51:D59"/>
    <mergeCell ref="E51:E59"/>
    <mergeCell ref="F51:F59"/>
    <mergeCell ref="G51:G59"/>
    <mergeCell ref="A47:A50"/>
    <mergeCell ref="B47:B50"/>
    <mergeCell ref="C47:C50"/>
    <mergeCell ref="D47:D50"/>
    <mergeCell ref="E47:E50"/>
    <mergeCell ref="F47:F50"/>
    <mergeCell ref="G60:G62"/>
    <mergeCell ref="A63:A65"/>
    <mergeCell ref="B63:B65"/>
    <mergeCell ref="C63:C65"/>
    <mergeCell ref="D63:D65"/>
    <mergeCell ref="E63:E65"/>
    <mergeCell ref="F63:F65"/>
    <mergeCell ref="G63:G65"/>
    <mergeCell ref="A60:A62"/>
    <mergeCell ref="B60:B62"/>
    <mergeCell ref="C60:C62"/>
    <mergeCell ref="D60:D62"/>
    <mergeCell ref="E60:E62"/>
    <mergeCell ref="F60:F62"/>
    <mergeCell ref="G66:G71"/>
    <mergeCell ref="A72:A74"/>
    <mergeCell ref="B72:B74"/>
    <mergeCell ref="C72:C74"/>
    <mergeCell ref="D72:D74"/>
    <mergeCell ref="E72:E74"/>
    <mergeCell ref="F72:F74"/>
    <mergeCell ref="G72:G74"/>
    <mergeCell ref="A66:A71"/>
    <mergeCell ref="B66:B71"/>
    <mergeCell ref="C66:C71"/>
    <mergeCell ref="D66:D71"/>
    <mergeCell ref="E66:E71"/>
    <mergeCell ref="F66:F71"/>
    <mergeCell ref="G75:G82"/>
    <mergeCell ref="A83:A84"/>
    <mergeCell ref="B83:B84"/>
    <mergeCell ref="C83:C84"/>
    <mergeCell ref="D83:D84"/>
    <mergeCell ref="E83:E84"/>
    <mergeCell ref="F83:F84"/>
    <mergeCell ref="G83:G84"/>
    <mergeCell ref="A75:A82"/>
    <mergeCell ref="B75:B82"/>
    <mergeCell ref="C75:C82"/>
    <mergeCell ref="D75:D82"/>
    <mergeCell ref="E75:E82"/>
    <mergeCell ref="F75:F82"/>
    <mergeCell ref="G85:G86"/>
    <mergeCell ref="A87:A90"/>
    <mergeCell ref="B87:B90"/>
    <mergeCell ref="C87:C90"/>
    <mergeCell ref="D87:D90"/>
    <mergeCell ref="E87:E90"/>
    <mergeCell ref="F87:F90"/>
    <mergeCell ref="G87:G90"/>
    <mergeCell ref="A85:A86"/>
    <mergeCell ref="B85:B86"/>
    <mergeCell ref="C85:C86"/>
    <mergeCell ref="D85:D86"/>
    <mergeCell ref="E85:E86"/>
    <mergeCell ref="F85:F86"/>
    <mergeCell ref="G91:G94"/>
    <mergeCell ref="A96:A98"/>
    <mergeCell ref="B96:B98"/>
    <mergeCell ref="C96:C98"/>
    <mergeCell ref="D96:D98"/>
    <mergeCell ref="E96:E98"/>
    <mergeCell ref="F96:F98"/>
    <mergeCell ref="G96:G98"/>
    <mergeCell ref="A91:A94"/>
    <mergeCell ref="B91:B94"/>
    <mergeCell ref="C91:C94"/>
    <mergeCell ref="D91:D94"/>
    <mergeCell ref="E91:E94"/>
    <mergeCell ref="F91:F94"/>
    <mergeCell ref="G99:G101"/>
    <mergeCell ref="A102:A104"/>
    <mergeCell ref="B102:B104"/>
    <mergeCell ref="C102:C104"/>
    <mergeCell ref="D102:D104"/>
    <mergeCell ref="E102:E104"/>
    <mergeCell ref="F102:F104"/>
    <mergeCell ref="G102:G104"/>
    <mergeCell ref="A99:A101"/>
    <mergeCell ref="B99:B101"/>
    <mergeCell ref="C99:C101"/>
    <mergeCell ref="D99:D101"/>
    <mergeCell ref="E99:E101"/>
    <mergeCell ref="F99:F101"/>
    <mergeCell ref="G109:G111"/>
    <mergeCell ref="A112:A116"/>
    <mergeCell ref="B112:B116"/>
    <mergeCell ref="C112:C116"/>
    <mergeCell ref="D112:D116"/>
    <mergeCell ref="E112:E116"/>
    <mergeCell ref="F112:F116"/>
    <mergeCell ref="G112:G116"/>
    <mergeCell ref="A109:A111"/>
    <mergeCell ref="B109:B111"/>
    <mergeCell ref="C109:C111"/>
    <mergeCell ref="D109:D111"/>
    <mergeCell ref="E109:E111"/>
    <mergeCell ref="F109:F111"/>
    <mergeCell ref="G117:G120"/>
    <mergeCell ref="A121:A122"/>
    <mergeCell ref="B121:B122"/>
    <mergeCell ref="C121:C122"/>
    <mergeCell ref="D121:D122"/>
    <mergeCell ref="E121:E122"/>
    <mergeCell ref="F121:F122"/>
    <mergeCell ref="G121:G122"/>
    <mergeCell ref="A117:A120"/>
    <mergeCell ref="B117:B120"/>
    <mergeCell ref="C117:C120"/>
    <mergeCell ref="D117:D120"/>
    <mergeCell ref="E117:E120"/>
    <mergeCell ref="F117:F120"/>
    <mergeCell ref="G123:G124"/>
    <mergeCell ref="A125:A126"/>
    <mergeCell ref="B125:B126"/>
    <mergeCell ref="C125:C126"/>
    <mergeCell ref="D125:D126"/>
    <mergeCell ref="E125:E126"/>
    <mergeCell ref="F125:F126"/>
    <mergeCell ref="G125:G126"/>
    <mergeCell ref="A123:A124"/>
    <mergeCell ref="B123:B124"/>
    <mergeCell ref="C123:C124"/>
    <mergeCell ref="D123:D124"/>
    <mergeCell ref="E123:E124"/>
    <mergeCell ref="F123:F124"/>
    <mergeCell ref="G127:G129"/>
    <mergeCell ref="A130:A134"/>
    <mergeCell ref="B130:B134"/>
    <mergeCell ref="C130:C134"/>
    <mergeCell ref="D130:D134"/>
    <mergeCell ref="E130:E134"/>
    <mergeCell ref="F130:F134"/>
    <mergeCell ref="G130:G134"/>
    <mergeCell ref="A127:A129"/>
    <mergeCell ref="B127:B129"/>
    <mergeCell ref="C127:C129"/>
    <mergeCell ref="D127:D129"/>
    <mergeCell ref="E127:E129"/>
    <mergeCell ref="F127:F129"/>
    <mergeCell ref="G135:G138"/>
    <mergeCell ref="A139:A142"/>
    <mergeCell ref="B139:B142"/>
    <mergeCell ref="C139:C142"/>
    <mergeCell ref="D139:D142"/>
    <mergeCell ref="E139:E142"/>
    <mergeCell ref="F139:F142"/>
    <mergeCell ref="G139:G142"/>
    <mergeCell ref="A135:A138"/>
    <mergeCell ref="B135:B138"/>
    <mergeCell ref="C135:C138"/>
    <mergeCell ref="D135:D138"/>
    <mergeCell ref="E135:E138"/>
    <mergeCell ref="F135:F138"/>
    <mergeCell ref="G143:G144"/>
    <mergeCell ref="A145:A146"/>
    <mergeCell ref="B145:B146"/>
    <mergeCell ref="C145:C146"/>
    <mergeCell ref="D145:D146"/>
    <mergeCell ref="E145:E146"/>
    <mergeCell ref="F145:F146"/>
    <mergeCell ref="G145:G146"/>
    <mergeCell ref="A143:A144"/>
    <mergeCell ref="B143:B144"/>
    <mergeCell ref="C143:C144"/>
    <mergeCell ref="D143:D144"/>
    <mergeCell ref="E143:E144"/>
    <mergeCell ref="F143:F144"/>
    <mergeCell ref="G148:G150"/>
    <mergeCell ref="A151:A160"/>
    <mergeCell ref="B151:B160"/>
    <mergeCell ref="C151:C160"/>
    <mergeCell ref="D151:D160"/>
    <mergeCell ref="E151:E160"/>
    <mergeCell ref="F151:F160"/>
    <mergeCell ref="G151:G160"/>
    <mergeCell ref="A148:A150"/>
    <mergeCell ref="B148:B150"/>
    <mergeCell ref="C148:C150"/>
    <mergeCell ref="D148:D150"/>
    <mergeCell ref="E148:E150"/>
    <mergeCell ref="F148:F150"/>
    <mergeCell ref="G161:G163"/>
    <mergeCell ref="A164:A167"/>
    <mergeCell ref="B164:B167"/>
    <mergeCell ref="C164:C167"/>
    <mergeCell ref="D164:D167"/>
    <mergeCell ref="E164:E167"/>
    <mergeCell ref="F164:F167"/>
    <mergeCell ref="G164:G167"/>
    <mergeCell ref="A161:A163"/>
    <mergeCell ref="B161:B163"/>
    <mergeCell ref="C161:C163"/>
    <mergeCell ref="D161:D163"/>
    <mergeCell ref="E161:E163"/>
    <mergeCell ref="F161:F163"/>
    <mergeCell ref="G168:G171"/>
    <mergeCell ref="A172:A174"/>
    <mergeCell ref="B172:B174"/>
    <mergeCell ref="C172:C174"/>
    <mergeCell ref="D172:D174"/>
    <mergeCell ref="E172:E174"/>
    <mergeCell ref="F172:F174"/>
    <mergeCell ref="G172:G174"/>
    <mergeCell ref="A168:A171"/>
    <mergeCell ref="B168:B171"/>
    <mergeCell ref="C168:C171"/>
    <mergeCell ref="D168:D171"/>
    <mergeCell ref="E168:E171"/>
    <mergeCell ref="F168:F171"/>
    <mergeCell ref="G175:G178"/>
    <mergeCell ref="A175:A178"/>
    <mergeCell ref="B175:B178"/>
    <mergeCell ref="C175:C178"/>
    <mergeCell ref="D175:D178"/>
    <mergeCell ref="E175:E178"/>
    <mergeCell ref="F175:F178"/>
    <mergeCell ref="A179:A182"/>
    <mergeCell ref="B179:B182"/>
    <mergeCell ref="C179:C182"/>
    <mergeCell ref="D179:D182"/>
    <mergeCell ref="E179:E182"/>
    <mergeCell ref="F179:F182"/>
    <mergeCell ref="G179:G182"/>
    <mergeCell ref="G184:G186"/>
    <mergeCell ref="A189:A191"/>
    <mergeCell ref="B189:B191"/>
    <mergeCell ref="C189:C191"/>
    <mergeCell ref="D189:D191"/>
    <mergeCell ref="E189:E191"/>
    <mergeCell ref="F189:F191"/>
    <mergeCell ref="G189:G191"/>
    <mergeCell ref="A184:A186"/>
    <mergeCell ref="B184:B186"/>
    <mergeCell ref="C184:C186"/>
    <mergeCell ref="D184:D186"/>
    <mergeCell ref="E184:E186"/>
    <mergeCell ref="F184:F186"/>
    <mergeCell ref="A187:A188"/>
    <mergeCell ref="B187:B188"/>
    <mergeCell ref="C187:C188"/>
    <mergeCell ref="D187:D188"/>
    <mergeCell ref="E187:E188"/>
    <mergeCell ref="F187:F188"/>
    <mergeCell ref="G187:G188"/>
    <mergeCell ref="F201:F203"/>
    <mergeCell ref="G201:G203"/>
    <mergeCell ref="C201:C203"/>
    <mergeCell ref="C204:C207"/>
    <mergeCell ref="B204:B207"/>
    <mergeCell ref="A204:A207"/>
    <mergeCell ref="A201:A203"/>
    <mergeCell ref="B201:B203"/>
    <mergeCell ref="D204:D207"/>
    <mergeCell ref="D201:D203"/>
    <mergeCell ref="E201:E203"/>
    <mergeCell ref="E204:E207"/>
    <mergeCell ref="A209:A212"/>
    <mergeCell ref="B209:B212"/>
    <mergeCell ref="C209:C212"/>
    <mergeCell ref="D209:D212"/>
    <mergeCell ref="E209:E212"/>
    <mergeCell ref="F209:F212"/>
    <mergeCell ref="G209:G212"/>
    <mergeCell ref="F204:F207"/>
    <mergeCell ref="G204:G207"/>
  </mergeCells>
  <conditionalFormatting sqref="A1">
    <cfRule type="duplicateValues" dxfId="194" priority="6"/>
  </conditionalFormatting>
  <conditionalFormatting sqref="B19">
    <cfRule type="duplicateValues" dxfId="193" priority="5"/>
  </conditionalFormatting>
  <conditionalFormatting sqref="B27">
    <cfRule type="duplicateValues" dxfId="192" priority="4"/>
  </conditionalFormatting>
  <conditionalFormatting sqref="B21">
    <cfRule type="duplicateValues" dxfId="191" priority="7"/>
  </conditionalFormatting>
  <conditionalFormatting sqref="B25">
    <cfRule type="duplicateValues" dxfId="190" priority="3"/>
  </conditionalFormatting>
  <conditionalFormatting sqref="B145">
    <cfRule type="duplicateValues" dxfId="189" priority="2"/>
  </conditionalFormatting>
  <conditionalFormatting sqref="B148">
    <cfRule type="duplicateValues" dxfId="188" priority="1"/>
  </conditionalFormatting>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filterMode="1"/>
  <dimension ref="A1:AK127"/>
  <sheetViews>
    <sheetView zoomScale="107" workbookViewId="0">
      <pane xSplit="5" ySplit="1" topLeftCell="T123" activePane="bottomRight" state="frozen"/>
      <selection activeCell="D149" sqref="D149:D156"/>
      <selection pane="topRight" activeCell="D149" sqref="D149:D156"/>
      <selection pane="bottomLeft" activeCell="D149" sqref="D149:D156"/>
      <selection pane="bottomRight" activeCell="C1" sqref="A1:AK127"/>
    </sheetView>
  </sheetViews>
  <sheetFormatPr defaultRowHeight="15" outlineLevelCol="1"/>
  <cols>
    <col min="1" max="1" width="12.5703125" style="145" hidden="1" customWidth="1"/>
    <col min="2" max="2" width="11.42578125" style="145" hidden="1" customWidth="1"/>
    <col min="3" max="3" width="16.140625" style="145" bestFit="1" customWidth="1"/>
    <col min="4" max="4" width="27.85546875" style="145" bestFit="1" customWidth="1"/>
    <col min="5" max="5" width="27.85546875" style="145" hidden="1" customWidth="1"/>
    <col min="6" max="6" width="13.28515625" style="145" bestFit="1" customWidth="1"/>
    <col min="7" max="7" width="15.5703125" style="145" customWidth="1"/>
    <col min="8" max="8" width="12.7109375" style="145" bestFit="1" customWidth="1"/>
    <col min="9" max="9" width="11.42578125" style="145" bestFit="1" customWidth="1"/>
    <col min="10" max="10" width="14.85546875" style="145" bestFit="1" customWidth="1"/>
    <col min="11" max="11" width="16" style="145" bestFit="1" customWidth="1"/>
    <col min="12" max="12" width="5.5703125" style="145" customWidth="1"/>
    <col min="13" max="13" width="9.5703125" style="145" customWidth="1"/>
    <col min="14" max="14" width="10.85546875" style="145" hidden="1" customWidth="1"/>
    <col min="15" max="15" width="8.140625" style="145" hidden="1" customWidth="1"/>
    <col min="16" max="16" width="9.140625" style="145"/>
    <col min="17" max="17" width="18.5703125" style="145" bestFit="1" customWidth="1"/>
    <col min="18" max="18" width="18.28515625" style="145" bestFit="1" customWidth="1"/>
    <col min="19" max="19" width="9.85546875" style="145" customWidth="1"/>
    <col min="20" max="20" width="10.28515625" style="145" bestFit="1" customWidth="1"/>
    <col min="21" max="21" width="11.42578125" style="145" customWidth="1"/>
    <col min="22" max="22" width="11.5703125" style="145" hidden="1" customWidth="1"/>
    <col min="23" max="23" width="16.5703125" style="145" hidden="1" customWidth="1"/>
    <col min="24" max="24" width="11" style="145" customWidth="1"/>
    <col min="25" max="25" width="9.140625" style="145" customWidth="1"/>
    <col min="26" max="26" width="12.28515625" style="145" hidden="1" customWidth="1" outlineLevel="1"/>
    <col min="27" max="27" width="13.5703125" style="145" hidden="1" customWidth="1" outlineLevel="1"/>
    <col min="28" max="28" width="14.140625" style="14" hidden="1" customWidth="1" outlineLevel="1"/>
    <col min="29" max="29" width="11.5703125" style="143" hidden="1" customWidth="1" outlineLevel="1"/>
    <col min="30" max="30" width="9.28515625" style="143" hidden="1" customWidth="1" outlineLevel="1"/>
    <col min="31" max="31" width="10.5703125" style="143" customWidth="1" collapsed="1"/>
    <col min="32" max="32" width="28.140625" style="143" bestFit="1" customWidth="1"/>
    <col min="33" max="33" width="10.5703125" style="143" hidden="1" customWidth="1"/>
    <col min="34" max="34" width="13" style="143" bestFit="1" customWidth="1"/>
    <col min="35" max="35" width="11.85546875" style="143" bestFit="1" customWidth="1"/>
    <col min="36" max="36" width="13" style="143" bestFit="1" customWidth="1"/>
    <col min="37" max="37" width="10.5703125" style="143" bestFit="1" customWidth="1"/>
  </cols>
  <sheetData>
    <row r="1" spans="1:37" ht="33.75">
      <c r="A1" s="671" t="s">
        <v>65</v>
      </c>
      <c r="B1" s="927" t="s">
        <v>66</v>
      </c>
      <c r="C1" s="520" t="s">
        <v>67</v>
      </c>
      <c r="D1" s="520" t="s">
        <v>68</v>
      </c>
      <c r="E1" s="521" t="s">
        <v>69</v>
      </c>
      <c r="F1" s="520" t="s">
        <v>72</v>
      </c>
      <c r="G1" s="520" t="s">
        <v>79</v>
      </c>
      <c r="H1" s="520" t="s">
        <v>80</v>
      </c>
      <c r="I1" s="520" t="s">
        <v>81</v>
      </c>
      <c r="J1" s="520" t="s">
        <v>76</v>
      </c>
      <c r="K1" s="520" t="s">
        <v>77</v>
      </c>
      <c r="L1" s="520" t="s">
        <v>1113</v>
      </c>
      <c r="M1" s="520" t="s">
        <v>1103</v>
      </c>
      <c r="N1" s="520" t="s">
        <v>1104</v>
      </c>
      <c r="O1" s="520" t="s">
        <v>1097</v>
      </c>
      <c r="P1" s="522" t="s">
        <v>84</v>
      </c>
      <c r="Q1" s="504" t="s">
        <v>85</v>
      </c>
      <c r="R1" s="504" t="s">
        <v>322</v>
      </c>
      <c r="S1" s="504" t="s">
        <v>220</v>
      </c>
      <c r="T1" s="504" t="s">
        <v>1095</v>
      </c>
      <c r="U1" s="504" t="s">
        <v>1093</v>
      </c>
      <c r="V1" s="504" t="s">
        <v>1096</v>
      </c>
      <c r="W1" s="504" t="s">
        <v>1094</v>
      </c>
      <c r="X1" s="504" t="s">
        <v>1106</v>
      </c>
      <c r="Y1" s="523" t="s">
        <v>88</v>
      </c>
      <c r="Z1" s="523" t="s">
        <v>89</v>
      </c>
      <c r="AA1" s="523" t="s">
        <v>1099</v>
      </c>
      <c r="AB1" s="523" t="s">
        <v>1100</v>
      </c>
      <c r="AC1" s="523" t="s">
        <v>1101</v>
      </c>
      <c r="AD1" s="523" t="s">
        <v>1102</v>
      </c>
      <c r="AE1" s="524" t="s">
        <v>962</v>
      </c>
      <c r="AF1" s="524" t="s">
        <v>963</v>
      </c>
      <c r="AG1" s="524" t="s">
        <v>964</v>
      </c>
      <c r="AH1" s="524" t="s">
        <v>965</v>
      </c>
      <c r="AI1" s="524" t="s">
        <v>967</v>
      </c>
      <c r="AJ1" s="524" t="s">
        <v>968</v>
      </c>
      <c r="AK1" s="524" t="s">
        <v>969</v>
      </c>
    </row>
    <row r="2" spans="1:37" s="143" customFormat="1" hidden="1">
      <c r="A2" s="1025" t="s">
        <v>198</v>
      </c>
      <c r="B2" s="1031" t="s">
        <v>403</v>
      </c>
      <c r="C2" s="1025" t="s">
        <v>186</v>
      </c>
      <c r="D2" s="1025" t="s">
        <v>870</v>
      </c>
      <c r="E2" s="1025" t="s">
        <v>870</v>
      </c>
      <c r="F2" s="1025" t="s">
        <v>54</v>
      </c>
      <c r="G2" s="1027" t="s">
        <v>11</v>
      </c>
      <c r="H2" s="1027" t="s">
        <v>19</v>
      </c>
      <c r="I2" s="1027" t="s">
        <v>20</v>
      </c>
      <c r="J2" s="1027" t="s">
        <v>872</v>
      </c>
      <c r="K2" s="1027" t="s">
        <v>873</v>
      </c>
      <c r="L2" s="1026">
        <v>52</v>
      </c>
      <c r="M2" s="1026">
        <v>43</v>
      </c>
      <c r="N2" s="1026">
        <v>30</v>
      </c>
      <c r="O2" s="1026">
        <v>150</v>
      </c>
      <c r="P2" s="395" t="s">
        <v>316</v>
      </c>
      <c r="Q2" s="391">
        <v>106.37109</v>
      </c>
      <c r="R2" s="391">
        <v>-6.0990200000000003</v>
      </c>
      <c r="S2" s="392" t="s">
        <v>984</v>
      </c>
      <c r="T2" s="392"/>
      <c r="U2" s="392"/>
      <c r="V2" s="392"/>
      <c r="W2" s="392"/>
      <c r="X2" s="392"/>
      <c r="Y2" s="392" t="s">
        <v>319</v>
      </c>
      <c r="Z2" s="392" t="s">
        <v>171</v>
      </c>
      <c r="AA2" s="392" t="s">
        <v>1107</v>
      </c>
      <c r="AB2" s="392"/>
      <c r="AC2" s="392" t="s">
        <v>1108</v>
      </c>
      <c r="AD2" s="392"/>
      <c r="AE2" s="392"/>
      <c r="AF2" s="392"/>
      <c r="AG2" s="394"/>
      <c r="AH2" s="448"/>
      <c r="AI2" s="392"/>
      <c r="AJ2" s="392"/>
      <c r="AK2" s="392"/>
    </row>
    <row r="3" spans="1:37" s="143" customFormat="1" hidden="1">
      <c r="A3" s="1025"/>
      <c r="B3" s="1031"/>
      <c r="C3" s="1025"/>
      <c r="D3" s="1025"/>
      <c r="E3" s="1025"/>
      <c r="F3" s="1025"/>
      <c r="G3" s="1027"/>
      <c r="H3" s="1027"/>
      <c r="I3" s="1027"/>
      <c r="J3" s="1027"/>
      <c r="K3" s="1027"/>
      <c r="L3" s="1026"/>
      <c r="M3" s="1026"/>
      <c r="N3" s="1026"/>
      <c r="O3" s="1026"/>
      <c r="P3" s="390" t="s">
        <v>314</v>
      </c>
      <c r="Q3" s="391">
        <v>106.37271</v>
      </c>
      <c r="R3" s="391">
        <v>-6.1010600000000004</v>
      </c>
      <c r="S3" s="392" t="s">
        <v>977</v>
      </c>
      <c r="T3" s="392">
        <v>43</v>
      </c>
      <c r="U3" s="392"/>
      <c r="V3" s="392">
        <v>30</v>
      </c>
      <c r="W3" s="392"/>
      <c r="X3" s="392">
        <v>115</v>
      </c>
      <c r="Y3" s="392" t="s">
        <v>319</v>
      </c>
      <c r="Z3" s="392" t="s">
        <v>171</v>
      </c>
      <c r="AA3" s="392" t="s">
        <v>1107</v>
      </c>
      <c r="AB3" s="392"/>
      <c r="AC3" s="392" t="s">
        <v>1108</v>
      </c>
      <c r="AD3" s="392"/>
      <c r="AE3" s="392" t="s">
        <v>1098</v>
      </c>
      <c r="AF3" s="392"/>
      <c r="AG3" s="394">
        <v>44167</v>
      </c>
      <c r="AH3" s="448" t="s">
        <v>1098</v>
      </c>
      <c r="AI3" s="392">
        <v>0.3</v>
      </c>
      <c r="AJ3" s="392"/>
      <c r="AK3" s="393">
        <v>44173</v>
      </c>
    </row>
    <row r="4" spans="1:37" s="143" customFormat="1" hidden="1">
      <c r="A4" s="1025"/>
      <c r="B4" s="1031"/>
      <c r="C4" s="1025"/>
      <c r="D4" s="1025"/>
      <c r="E4" s="1025"/>
      <c r="F4" s="1025"/>
      <c r="G4" s="1027"/>
      <c r="H4" s="1027"/>
      <c r="I4" s="1027"/>
      <c r="J4" s="1027"/>
      <c r="K4" s="1027"/>
      <c r="L4" s="1026"/>
      <c r="M4" s="1026"/>
      <c r="N4" s="1026"/>
      <c r="O4" s="1026"/>
      <c r="P4" s="390" t="s">
        <v>179</v>
      </c>
      <c r="Q4" s="392">
        <v>106.37322</v>
      </c>
      <c r="R4" s="392">
        <v>-6.1013500000000001</v>
      </c>
      <c r="S4" s="392" t="s">
        <v>984</v>
      </c>
      <c r="T4" s="392">
        <v>40</v>
      </c>
      <c r="U4" s="393">
        <v>44182</v>
      </c>
      <c r="V4" s="392">
        <v>30</v>
      </c>
      <c r="W4" s="393">
        <v>44182</v>
      </c>
      <c r="X4" s="392">
        <v>213</v>
      </c>
      <c r="Y4" s="392" t="s">
        <v>319</v>
      </c>
      <c r="Z4" s="392" t="s">
        <v>171</v>
      </c>
      <c r="AA4" s="392" t="s">
        <v>1109</v>
      </c>
      <c r="AB4" s="392" t="s">
        <v>1110</v>
      </c>
      <c r="AC4" s="392" t="s">
        <v>1108</v>
      </c>
      <c r="AD4" s="392"/>
      <c r="AE4" s="392"/>
      <c r="AF4" s="392"/>
      <c r="AG4" s="410"/>
      <c r="AH4" s="448"/>
      <c r="AI4" s="392"/>
      <c r="AJ4" s="392"/>
      <c r="AK4" s="392"/>
    </row>
    <row r="5" spans="1:37" s="143" customFormat="1" hidden="1">
      <c r="A5" s="1025"/>
      <c r="B5" s="1031"/>
      <c r="C5" s="1025"/>
      <c r="D5" s="1025"/>
      <c r="E5" s="1025"/>
      <c r="F5" s="1025"/>
      <c r="G5" s="1027"/>
      <c r="H5" s="1027"/>
      <c r="I5" s="1027"/>
      <c r="J5" s="1027"/>
      <c r="K5" s="1027"/>
      <c r="L5" s="1026"/>
      <c r="M5" s="1026"/>
      <c r="N5" s="1026"/>
      <c r="O5" s="1026"/>
      <c r="P5" s="390" t="s">
        <v>178</v>
      </c>
      <c r="Q5" s="392">
        <v>106.37194</v>
      </c>
      <c r="R5" s="392">
        <v>-6.1038800000000002</v>
      </c>
      <c r="S5" s="392" t="s">
        <v>977</v>
      </c>
      <c r="T5" s="392">
        <v>43</v>
      </c>
      <c r="U5" s="393">
        <v>44193</v>
      </c>
      <c r="V5" s="392">
        <v>30</v>
      </c>
      <c r="W5" s="393">
        <v>44193</v>
      </c>
      <c r="X5" s="392">
        <v>335.8</v>
      </c>
      <c r="Y5" s="392" t="s">
        <v>319</v>
      </c>
      <c r="Z5" s="392" t="s">
        <v>171</v>
      </c>
      <c r="AA5" s="392" t="s">
        <v>1109</v>
      </c>
      <c r="AB5" s="392" t="s">
        <v>2073</v>
      </c>
      <c r="AC5" s="392"/>
      <c r="AD5" s="392"/>
      <c r="AE5" s="392"/>
      <c r="AF5" s="392" t="s">
        <v>2131</v>
      </c>
      <c r="AG5" s="410"/>
      <c r="AH5" s="448"/>
      <c r="AI5" s="392"/>
      <c r="AJ5" s="392"/>
      <c r="AK5" s="392"/>
    </row>
    <row r="6" spans="1:37" s="143" customFormat="1" hidden="1">
      <c r="A6" s="1025"/>
      <c r="B6" s="1031"/>
      <c r="C6" s="1025"/>
      <c r="D6" s="1025"/>
      <c r="E6" s="1025"/>
      <c r="F6" s="1025"/>
      <c r="G6" s="1027"/>
      <c r="H6" s="1027"/>
      <c r="I6" s="1027"/>
      <c r="J6" s="1027"/>
      <c r="K6" s="1027"/>
      <c r="L6" s="1026"/>
      <c r="M6" s="1026"/>
      <c r="N6" s="1026"/>
      <c r="O6" s="1026"/>
      <c r="P6" s="390" t="s">
        <v>323</v>
      </c>
      <c r="Q6" s="390">
        <v>106.36702</v>
      </c>
      <c r="R6" s="390">
        <v>-6.0963900000000004</v>
      </c>
      <c r="S6" s="390" t="s">
        <v>977</v>
      </c>
      <c r="T6" s="390">
        <v>43</v>
      </c>
      <c r="U6" s="485"/>
      <c r="V6" s="390"/>
      <c r="W6" s="485"/>
      <c r="X6" s="390"/>
      <c r="Y6" s="390"/>
      <c r="Z6" s="390"/>
      <c r="AA6" s="390"/>
      <c r="AB6" s="390"/>
      <c r="AC6" s="390"/>
      <c r="AD6" s="390"/>
      <c r="AE6" s="390"/>
      <c r="AF6" s="390"/>
      <c r="AG6" s="486"/>
      <c r="AH6" s="487"/>
      <c r="AI6" s="390"/>
      <c r="AJ6" s="390"/>
      <c r="AK6" s="390"/>
    </row>
    <row r="7" spans="1:37" s="143" customFormat="1" hidden="1">
      <c r="A7" s="1025"/>
      <c r="B7" s="1031"/>
      <c r="C7" s="1025"/>
      <c r="D7" s="1025"/>
      <c r="E7" s="1025"/>
      <c r="F7" s="1025"/>
      <c r="G7" s="1027"/>
      <c r="H7" s="1027"/>
      <c r="I7" s="1027"/>
      <c r="J7" s="1027"/>
      <c r="K7" s="1027"/>
      <c r="L7" s="1026"/>
      <c r="M7" s="1026"/>
      <c r="N7" s="1026"/>
      <c r="O7" s="1026"/>
      <c r="P7" s="390" t="s">
        <v>2015</v>
      </c>
      <c r="Q7" s="390">
        <v>106.36844000000001</v>
      </c>
      <c r="R7" s="390">
        <v>-6.0962800000000001</v>
      </c>
      <c r="S7" s="390" t="s">
        <v>977</v>
      </c>
      <c r="T7" s="390">
        <v>43</v>
      </c>
      <c r="U7" s="485"/>
      <c r="V7" s="390"/>
      <c r="W7" s="485"/>
      <c r="X7" s="390"/>
      <c r="Y7" s="390"/>
      <c r="Z7" s="390"/>
      <c r="AA7" s="390"/>
      <c r="AB7" s="390"/>
      <c r="AC7" s="390"/>
      <c r="AD7" s="390"/>
      <c r="AE7" s="390"/>
      <c r="AF7" s="390" t="s">
        <v>2100</v>
      </c>
      <c r="AG7" s="486"/>
      <c r="AH7" s="487"/>
      <c r="AI7" s="390"/>
      <c r="AJ7" s="390"/>
      <c r="AK7" s="390"/>
    </row>
    <row r="8" spans="1:37" s="143" customFormat="1" hidden="1">
      <c r="A8" s="1025"/>
      <c r="B8" s="1031"/>
      <c r="C8" s="1025"/>
      <c r="D8" s="1025"/>
      <c r="E8" s="1025"/>
      <c r="F8" s="1025"/>
      <c r="G8" s="1027"/>
      <c r="H8" s="1027"/>
      <c r="I8" s="1027"/>
      <c r="J8" s="1027"/>
      <c r="K8" s="1027"/>
      <c r="L8" s="1026"/>
      <c r="M8" s="1026"/>
      <c r="N8" s="1026"/>
      <c r="O8" s="1026"/>
      <c r="P8" s="390" t="s">
        <v>1451</v>
      </c>
      <c r="Q8" s="390">
        <v>106.36702</v>
      </c>
      <c r="R8" s="390">
        <v>-6.0963900000000004</v>
      </c>
      <c r="S8" s="390" t="s">
        <v>977</v>
      </c>
      <c r="T8" s="390">
        <v>43</v>
      </c>
      <c r="U8" s="485"/>
      <c r="V8" s="390"/>
      <c r="W8" s="485"/>
      <c r="X8" s="390"/>
      <c r="Y8" s="390"/>
      <c r="Z8" s="390"/>
      <c r="AA8" s="390"/>
      <c r="AB8" s="390"/>
      <c r="AC8" s="390"/>
      <c r="AD8" s="390"/>
      <c r="AE8" s="390"/>
      <c r="AF8" s="390"/>
      <c r="AG8" s="486"/>
      <c r="AH8" s="487"/>
      <c r="AI8" s="390"/>
      <c r="AJ8" s="390"/>
      <c r="AK8" s="390"/>
    </row>
    <row r="9" spans="1:37" s="143" customFormat="1" hidden="1">
      <c r="A9" s="1025"/>
      <c r="B9" s="1031"/>
      <c r="C9" s="1025"/>
      <c r="D9" s="1025"/>
      <c r="E9" s="1025"/>
      <c r="F9" s="1025"/>
      <c r="G9" s="1027"/>
      <c r="H9" s="1027"/>
      <c r="I9" s="1027"/>
      <c r="J9" s="1027"/>
      <c r="K9" s="1027"/>
      <c r="L9" s="1026"/>
      <c r="M9" s="1026"/>
      <c r="N9" s="1026"/>
      <c r="O9" s="1026"/>
      <c r="P9" s="920" t="s">
        <v>1949</v>
      </c>
      <c r="Q9" s="525">
        <v>106.37063999999999</v>
      </c>
      <c r="R9" s="525">
        <v>-6.0982200000000004</v>
      </c>
      <c r="S9" s="916" t="s">
        <v>977</v>
      </c>
      <c r="T9" s="916">
        <v>43</v>
      </c>
      <c r="U9" s="144">
        <v>44222</v>
      </c>
      <c r="V9" s="916">
        <v>30</v>
      </c>
      <c r="W9" s="144">
        <v>44222</v>
      </c>
      <c r="X9" s="916">
        <v>310.08</v>
      </c>
      <c r="Y9" s="916" t="s">
        <v>319</v>
      </c>
      <c r="Z9" s="916" t="s">
        <v>171</v>
      </c>
      <c r="AA9" s="916"/>
      <c r="AB9" s="916"/>
      <c r="AC9" s="916"/>
      <c r="AD9" s="916"/>
      <c r="AE9" s="916" t="s">
        <v>1098</v>
      </c>
      <c r="AF9" s="916" t="s">
        <v>2170</v>
      </c>
      <c r="AG9" s="918"/>
      <c r="AH9" s="526" t="s">
        <v>1098</v>
      </c>
      <c r="AI9" s="916">
        <v>0.3</v>
      </c>
      <c r="AJ9" s="916"/>
      <c r="AK9" s="916"/>
    </row>
    <row r="10" spans="1:37" hidden="1">
      <c r="A10" s="1025" t="s">
        <v>199</v>
      </c>
      <c r="B10" s="1031" t="s">
        <v>404</v>
      </c>
      <c r="C10" s="1025" t="s">
        <v>187</v>
      </c>
      <c r="D10" s="1025" t="s">
        <v>874</v>
      </c>
      <c r="E10" s="1025" t="s">
        <v>874</v>
      </c>
      <c r="F10" s="1025" t="s">
        <v>54</v>
      </c>
      <c r="G10" s="1027" t="s">
        <v>11</v>
      </c>
      <c r="H10" s="1027" t="s">
        <v>878</v>
      </c>
      <c r="I10" s="1027" t="s">
        <v>20</v>
      </c>
      <c r="J10" s="1027" t="s">
        <v>876</v>
      </c>
      <c r="K10" s="1027" t="s">
        <v>877</v>
      </c>
      <c r="L10" s="1026">
        <v>52</v>
      </c>
      <c r="M10" s="1026">
        <v>44</v>
      </c>
      <c r="N10" s="1026">
        <v>30</v>
      </c>
      <c r="O10" s="1026">
        <v>250</v>
      </c>
      <c r="P10" s="395" t="s">
        <v>316</v>
      </c>
      <c r="Q10" s="391">
        <v>106.2268</v>
      </c>
      <c r="R10" s="391">
        <v>-6.1810799999999997</v>
      </c>
      <c r="S10" s="391" t="s">
        <v>977</v>
      </c>
      <c r="T10" s="392">
        <v>43</v>
      </c>
      <c r="U10" s="394">
        <v>44167</v>
      </c>
      <c r="V10" s="391">
        <v>30</v>
      </c>
      <c r="W10" s="394">
        <v>44167</v>
      </c>
      <c r="X10" s="391">
        <v>214</v>
      </c>
      <c r="Y10" s="392" t="s">
        <v>319</v>
      </c>
      <c r="Z10" s="392" t="s">
        <v>171</v>
      </c>
      <c r="AA10" s="392" t="s">
        <v>1111</v>
      </c>
      <c r="AB10" s="392"/>
      <c r="AC10" s="392"/>
      <c r="AD10" s="392"/>
      <c r="AE10" s="392" t="s">
        <v>1028</v>
      </c>
      <c r="AF10" s="391" t="s">
        <v>1029</v>
      </c>
      <c r="AG10" s="394">
        <v>44167</v>
      </c>
      <c r="AH10" s="448"/>
      <c r="AI10" s="392"/>
      <c r="AJ10" s="392"/>
      <c r="AK10" s="392"/>
    </row>
    <row r="11" spans="1:37" hidden="1">
      <c r="A11" s="1025"/>
      <c r="B11" s="1031"/>
      <c r="C11" s="1025"/>
      <c r="D11" s="1025"/>
      <c r="E11" s="1025"/>
      <c r="F11" s="1025"/>
      <c r="G11" s="1027"/>
      <c r="H11" s="1027"/>
      <c r="I11" s="1027"/>
      <c r="J11" s="1027"/>
      <c r="K11" s="1027"/>
      <c r="L11" s="1026"/>
      <c r="M11" s="1026"/>
      <c r="N11" s="1026"/>
      <c r="O11" s="1026"/>
      <c r="P11" s="395" t="s">
        <v>314</v>
      </c>
      <c r="Q11" s="391">
        <v>106.22775</v>
      </c>
      <c r="R11" s="391">
        <v>-6.1800499999999996</v>
      </c>
      <c r="S11" s="391" t="s">
        <v>977</v>
      </c>
      <c r="T11" s="392">
        <v>43</v>
      </c>
      <c r="U11" s="394">
        <v>44167</v>
      </c>
      <c r="V11" s="391">
        <v>30</v>
      </c>
      <c r="W11" s="394">
        <v>44167</v>
      </c>
      <c r="X11" s="391">
        <v>166</v>
      </c>
      <c r="Y11" s="392" t="s">
        <v>319</v>
      </c>
      <c r="Z11" s="392" t="s">
        <v>171</v>
      </c>
      <c r="AA11" s="392" t="s">
        <v>1107</v>
      </c>
      <c r="AB11" s="392"/>
      <c r="AC11" s="392"/>
      <c r="AD11" s="392"/>
      <c r="AE11" s="392" t="s">
        <v>1028</v>
      </c>
      <c r="AF11" s="391" t="s">
        <v>1030</v>
      </c>
      <c r="AG11" s="394">
        <v>44167</v>
      </c>
      <c r="AH11" s="448"/>
      <c r="AI11" s="392"/>
      <c r="AJ11" s="392"/>
      <c r="AK11" s="392"/>
    </row>
    <row r="12" spans="1:37" hidden="1">
      <c r="A12" s="1025"/>
      <c r="B12" s="1031"/>
      <c r="C12" s="1025"/>
      <c r="D12" s="1025"/>
      <c r="E12" s="1025"/>
      <c r="F12" s="1025"/>
      <c r="G12" s="1027"/>
      <c r="H12" s="1027"/>
      <c r="I12" s="1027"/>
      <c r="J12" s="1027"/>
      <c r="K12" s="1027"/>
      <c r="L12" s="1026"/>
      <c r="M12" s="1026"/>
      <c r="N12" s="1026"/>
      <c r="O12" s="1026"/>
      <c r="P12" s="916" t="s">
        <v>179</v>
      </c>
      <c r="Q12" s="916">
        <v>106.22681</v>
      </c>
      <c r="R12" s="916">
        <v>-6.1811499999999997</v>
      </c>
      <c r="S12" s="916" t="s">
        <v>977</v>
      </c>
      <c r="T12" s="916">
        <v>43</v>
      </c>
      <c r="U12" s="144">
        <v>44182</v>
      </c>
      <c r="V12" s="916">
        <v>30</v>
      </c>
      <c r="W12" s="144">
        <v>44182</v>
      </c>
      <c r="X12" s="916">
        <v>221.6</v>
      </c>
      <c r="Y12" s="916" t="s">
        <v>319</v>
      </c>
      <c r="Z12" s="916" t="s">
        <v>171</v>
      </c>
      <c r="AA12" s="916" t="s">
        <v>1109</v>
      </c>
      <c r="AB12" s="916" t="s">
        <v>1112</v>
      </c>
      <c r="AC12" s="916" t="s">
        <v>1108</v>
      </c>
      <c r="AD12" s="916"/>
      <c r="AE12" s="916" t="s">
        <v>1028</v>
      </c>
      <c r="AF12" s="916"/>
      <c r="AG12" s="527">
        <v>44187</v>
      </c>
      <c r="AH12" s="526" t="s">
        <v>1938</v>
      </c>
      <c r="AI12" s="916">
        <v>0.3</v>
      </c>
      <c r="AJ12" s="916"/>
      <c r="AK12" s="527">
        <v>44187</v>
      </c>
    </row>
    <row r="13" spans="1:37" hidden="1">
      <c r="A13" s="673"/>
      <c r="B13" s="928"/>
      <c r="C13" s="1025" t="s">
        <v>188</v>
      </c>
      <c r="D13" s="1025" t="s">
        <v>879</v>
      </c>
      <c r="E13" s="1025" t="s">
        <v>879</v>
      </c>
      <c r="F13" s="1025" t="s">
        <v>54</v>
      </c>
      <c r="G13" s="1027" t="s">
        <v>11</v>
      </c>
      <c r="H13" s="1027" t="s">
        <v>12</v>
      </c>
      <c r="I13" s="1027" t="s">
        <v>13</v>
      </c>
      <c r="J13" s="1027" t="s">
        <v>881</v>
      </c>
      <c r="K13" s="1027" t="s">
        <v>882</v>
      </c>
      <c r="L13" s="1026">
        <v>52</v>
      </c>
      <c r="M13" s="1026">
        <v>50</v>
      </c>
      <c r="N13" s="1026">
        <v>32</v>
      </c>
      <c r="O13" s="1026">
        <v>250</v>
      </c>
      <c r="P13" s="445" t="s">
        <v>314</v>
      </c>
      <c r="Q13" s="445">
        <v>106.76786</v>
      </c>
      <c r="R13" s="445">
        <v>-6.8646799999999999</v>
      </c>
      <c r="S13" s="445" t="s">
        <v>977</v>
      </c>
      <c r="T13" s="445">
        <v>50</v>
      </c>
      <c r="U13" s="491"/>
      <c r="V13" s="445"/>
      <c r="W13" s="445"/>
      <c r="X13" s="445"/>
      <c r="Y13" s="445"/>
      <c r="Z13" s="445"/>
      <c r="AA13" s="445"/>
      <c r="AB13" s="445"/>
      <c r="AC13" s="445"/>
      <c r="AD13" s="445"/>
      <c r="AE13" s="445"/>
      <c r="AF13" s="445"/>
      <c r="AG13" s="528"/>
      <c r="AH13" s="529"/>
      <c r="AI13" s="445"/>
      <c r="AJ13" s="445"/>
      <c r="AK13" s="445"/>
    </row>
    <row r="14" spans="1:37" hidden="1">
      <c r="A14" s="673" t="s">
        <v>200</v>
      </c>
      <c r="B14" s="928" t="s">
        <v>405</v>
      </c>
      <c r="C14" s="1025"/>
      <c r="D14" s="1025"/>
      <c r="E14" s="1025"/>
      <c r="F14" s="1025"/>
      <c r="G14" s="1027"/>
      <c r="H14" s="1027"/>
      <c r="I14" s="1027"/>
      <c r="J14" s="1027"/>
      <c r="K14" s="1027"/>
      <c r="L14" s="1026"/>
      <c r="M14" s="1026"/>
      <c r="N14" s="1026"/>
      <c r="O14" s="1026"/>
      <c r="P14" s="445" t="s">
        <v>179</v>
      </c>
      <c r="Q14" s="445">
        <v>106.76978</v>
      </c>
      <c r="R14" s="445">
        <v>-6.8674600000000003</v>
      </c>
      <c r="S14" s="445" t="s">
        <v>977</v>
      </c>
      <c r="T14" s="445">
        <v>50</v>
      </c>
      <c r="U14" s="491">
        <v>44222</v>
      </c>
      <c r="V14" s="916"/>
      <c r="W14" s="916"/>
      <c r="X14" s="445">
        <v>133.94999999999999</v>
      </c>
      <c r="Y14" s="445" t="s">
        <v>319</v>
      </c>
      <c r="Z14" s="445" t="s">
        <v>171</v>
      </c>
      <c r="AA14" s="916"/>
      <c r="AB14" s="916"/>
      <c r="AC14" s="916"/>
      <c r="AD14" s="916"/>
      <c r="AE14" s="916"/>
      <c r="AF14" s="916"/>
      <c r="AG14" s="918"/>
      <c r="AH14" s="526"/>
      <c r="AI14" s="916"/>
      <c r="AJ14" s="916"/>
      <c r="AK14" s="916"/>
    </row>
    <row r="15" spans="1:37" hidden="1">
      <c r="A15" s="673"/>
      <c r="B15" s="928"/>
      <c r="C15" s="1025"/>
      <c r="D15" s="1025"/>
      <c r="E15" s="1025"/>
      <c r="F15" s="1025"/>
      <c r="G15" s="1027"/>
      <c r="H15" s="1027"/>
      <c r="I15" s="1027"/>
      <c r="J15" s="1027"/>
      <c r="K15" s="1027"/>
      <c r="L15" s="1026"/>
      <c r="M15" s="1026"/>
      <c r="N15" s="1026"/>
      <c r="O15" s="1026"/>
      <c r="P15" s="916" t="s">
        <v>178</v>
      </c>
      <c r="Q15" s="916">
        <v>106.7693</v>
      </c>
      <c r="R15" s="916">
        <v>-6.8673900000000003</v>
      </c>
      <c r="S15" s="916" t="s">
        <v>977</v>
      </c>
      <c r="T15" s="916">
        <v>50</v>
      </c>
      <c r="U15" s="144">
        <v>44229</v>
      </c>
      <c r="V15" s="916">
        <v>30</v>
      </c>
      <c r="W15" s="144">
        <v>44229</v>
      </c>
      <c r="X15" s="916">
        <v>180.55</v>
      </c>
      <c r="Y15" s="916" t="s">
        <v>319</v>
      </c>
      <c r="Z15" s="916" t="s">
        <v>171</v>
      </c>
      <c r="AA15" s="916"/>
      <c r="AB15" s="916"/>
      <c r="AC15" s="916"/>
      <c r="AD15" s="916"/>
      <c r="AE15" s="916"/>
      <c r="AF15" s="916"/>
      <c r="AG15" s="918"/>
      <c r="AH15" s="526"/>
      <c r="AI15" s="916"/>
      <c r="AJ15" s="916"/>
      <c r="AK15" s="916"/>
    </row>
    <row r="16" spans="1:37" hidden="1">
      <c r="A16" s="673"/>
      <c r="B16" s="928"/>
      <c r="C16" s="1025"/>
      <c r="D16" s="1025"/>
      <c r="E16" s="1025"/>
      <c r="F16" s="916"/>
      <c r="G16" s="918"/>
      <c r="H16" s="918"/>
      <c r="I16" s="918"/>
      <c r="J16" s="918"/>
      <c r="K16" s="918"/>
      <c r="L16" s="917"/>
      <c r="M16" s="917"/>
      <c r="N16" s="917"/>
      <c r="O16" s="917"/>
      <c r="P16" s="916" t="s">
        <v>323</v>
      </c>
      <c r="Q16" s="916">
        <v>106.76854</v>
      </c>
      <c r="R16" s="916">
        <v>-6.8682999999999996</v>
      </c>
      <c r="S16" s="916"/>
      <c r="T16" s="916"/>
      <c r="U16" s="144">
        <v>44256</v>
      </c>
      <c r="V16" s="916"/>
      <c r="W16" s="144"/>
      <c r="X16" s="916">
        <v>234.71</v>
      </c>
      <c r="Y16" s="916"/>
      <c r="Z16" s="916"/>
      <c r="AA16" s="916"/>
      <c r="AB16" s="916"/>
      <c r="AC16" s="916"/>
      <c r="AD16" s="916"/>
      <c r="AE16" s="916"/>
      <c r="AF16" s="916"/>
      <c r="AG16" s="918"/>
      <c r="AH16" s="526"/>
      <c r="AI16" s="916"/>
      <c r="AJ16" s="916"/>
      <c r="AK16" s="916"/>
    </row>
    <row r="17" spans="1:37" hidden="1">
      <c r="A17" s="1025" t="s">
        <v>201</v>
      </c>
      <c r="B17" s="1031" t="s">
        <v>406</v>
      </c>
      <c r="C17" s="1025" t="s">
        <v>211</v>
      </c>
      <c r="D17" s="1025" t="s">
        <v>883</v>
      </c>
      <c r="E17" s="1025" t="s">
        <v>883</v>
      </c>
      <c r="F17" s="1025" t="s">
        <v>54</v>
      </c>
      <c r="G17" s="1027" t="s">
        <v>11</v>
      </c>
      <c r="H17" s="1027" t="s">
        <v>26</v>
      </c>
      <c r="I17" s="1027" t="s">
        <v>13</v>
      </c>
      <c r="J17" s="1027" t="s">
        <v>885</v>
      </c>
      <c r="K17" s="1027" t="s">
        <v>886</v>
      </c>
      <c r="L17" s="1026">
        <v>52</v>
      </c>
      <c r="M17" s="1026">
        <v>43</v>
      </c>
      <c r="N17" s="1026">
        <v>40</v>
      </c>
      <c r="O17" s="1026">
        <v>150</v>
      </c>
      <c r="P17" s="916" t="s">
        <v>316</v>
      </c>
      <c r="Q17" s="146">
        <v>106.90725999999999</v>
      </c>
      <c r="R17" s="492">
        <v>-6.5270999999999999</v>
      </c>
      <c r="S17" s="916" t="s">
        <v>977</v>
      </c>
      <c r="T17" s="916">
        <v>43</v>
      </c>
      <c r="U17" s="144">
        <v>44167</v>
      </c>
      <c r="V17" s="916">
        <v>40</v>
      </c>
      <c r="W17" s="144">
        <v>44167</v>
      </c>
      <c r="X17" s="916">
        <v>91</v>
      </c>
      <c r="Y17" s="916" t="s">
        <v>319</v>
      </c>
      <c r="Z17" s="916" t="s">
        <v>171</v>
      </c>
      <c r="AA17" s="916" t="s">
        <v>1109</v>
      </c>
      <c r="AB17" s="916" t="s">
        <v>1114</v>
      </c>
      <c r="AC17" s="916"/>
      <c r="AD17" s="916"/>
      <c r="AE17" s="530" t="s">
        <v>1028</v>
      </c>
      <c r="AF17" s="530" t="s">
        <v>1035</v>
      </c>
      <c r="AG17" s="527">
        <v>44167</v>
      </c>
      <c r="AH17" s="526" t="s">
        <v>1937</v>
      </c>
      <c r="AI17" s="916">
        <v>0.3</v>
      </c>
      <c r="AJ17" s="916"/>
      <c r="AK17" s="916"/>
    </row>
    <row r="18" spans="1:37" hidden="1">
      <c r="A18" s="1025"/>
      <c r="B18" s="1031"/>
      <c r="C18" s="1025"/>
      <c r="D18" s="1025"/>
      <c r="E18" s="1025"/>
      <c r="F18" s="1025"/>
      <c r="G18" s="1027"/>
      <c r="H18" s="1027"/>
      <c r="I18" s="1027"/>
      <c r="J18" s="1027"/>
      <c r="K18" s="1027"/>
      <c r="L18" s="1026"/>
      <c r="M18" s="1026"/>
      <c r="N18" s="1026"/>
      <c r="O18" s="1026"/>
      <c r="P18" s="390" t="s">
        <v>314</v>
      </c>
      <c r="Q18" s="391">
        <v>106.90799</v>
      </c>
      <c r="R18" s="391">
        <v>-6.52677</v>
      </c>
      <c r="S18" s="392" t="s">
        <v>977</v>
      </c>
      <c r="T18" s="392">
        <v>43</v>
      </c>
      <c r="U18" s="393">
        <v>44167</v>
      </c>
      <c r="V18" s="392">
        <v>40</v>
      </c>
      <c r="W18" s="393">
        <v>44167</v>
      </c>
      <c r="X18" s="392">
        <v>14</v>
      </c>
      <c r="Y18" s="392" t="s">
        <v>319</v>
      </c>
      <c r="Z18" s="392" t="s">
        <v>171</v>
      </c>
      <c r="AA18" s="392" t="s">
        <v>1107</v>
      </c>
      <c r="AB18" s="392"/>
      <c r="AC18" s="392"/>
      <c r="AD18" s="392"/>
      <c r="AE18" s="391" t="s">
        <v>1028</v>
      </c>
      <c r="AF18" s="391" t="s">
        <v>1030</v>
      </c>
      <c r="AG18" s="394">
        <v>44167</v>
      </c>
      <c r="AH18" s="448"/>
      <c r="AI18" s="392"/>
      <c r="AJ18" s="392"/>
      <c r="AK18" s="392"/>
    </row>
    <row r="19" spans="1:37" hidden="1">
      <c r="A19" s="1025" t="s">
        <v>202</v>
      </c>
      <c r="B19" s="1032" t="s">
        <v>1080</v>
      </c>
      <c r="C19" s="1025" t="s">
        <v>189</v>
      </c>
      <c r="D19" s="1025" t="s">
        <v>887</v>
      </c>
      <c r="E19" s="1025" t="s">
        <v>887</v>
      </c>
      <c r="F19" s="1025" t="s">
        <v>54</v>
      </c>
      <c r="G19" s="1027" t="s">
        <v>11</v>
      </c>
      <c r="H19" s="1027" t="s">
        <v>26</v>
      </c>
      <c r="I19" s="1027" t="s">
        <v>13</v>
      </c>
      <c r="J19" s="1027" t="s">
        <v>889</v>
      </c>
      <c r="K19" s="1027" t="s">
        <v>890</v>
      </c>
      <c r="L19" s="1026">
        <v>52</v>
      </c>
      <c r="M19" s="1026">
        <v>49</v>
      </c>
      <c r="N19" s="1026">
        <v>30</v>
      </c>
      <c r="O19" s="1026">
        <v>150</v>
      </c>
      <c r="P19" s="395" t="s">
        <v>316</v>
      </c>
      <c r="Q19" s="391">
        <v>106.65864999999999</v>
      </c>
      <c r="R19" s="391">
        <v>-6.6185099999999997</v>
      </c>
      <c r="S19" s="392" t="s">
        <v>977</v>
      </c>
      <c r="T19" s="392">
        <v>49</v>
      </c>
      <c r="U19" s="393">
        <v>44172</v>
      </c>
      <c r="V19" s="392">
        <v>30</v>
      </c>
      <c r="W19" s="393">
        <v>44172</v>
      </c>
      <c r="X19" s="392">
        <v>160</v>
      </c>
      <c r="Y19" s="392" t="s">
        <v>319</v>
      </c>
      <c r="Z19" s="392" t="s">
        <v>171</v>
      </c>
      <c r="AA19" s="392"/>
      <c r="AB19" s="392"/>
      <c r="AC19" s="392"/>
      <c r="AD19" s="392"/>
      <c r="AE19" s="391" t="s">
        <v>1028</v>
      </c>
      <c r="AF19" s="391" t="s">
        <v>1061</v>
      </c>
      <c r="AG19" s="394">
        <v>44172</v>
      </c>
      <c r="AH19" s="418" t="s">
        <v>981</v>
      </c>
      <c r="AI19" s="392">
        <v>0.3</v>
      </c>
      <c r="AJ19" s="392"/>
      <c r="AK19" s="392"/>
    </row>
    <row r="20" spans="1:37" hidden="1">
      <c r="A20" s="1025"/>
      <c r="B20" s="1032"/>
      <c r="C20" s="1025"/>
      <c r="D20" s="1025"/>
      <c r="E20" s="1025"/>
      <c r="F20" s="1025"/>
      <c r="G20" s="1027"/>
      <c r="H20" s="1027"/>
      <c r="I20" s="1027"/>
      <c r="J20" s="1027"/>
      <c r="K20" s="1027"/>
      <c r="L20" s="1026"/>
      <c r="M20" s="1026"/>
      <c r="N20" s="1026"/>
      <c r="O20" s="1026"/>
      <c r="P20" s="395" t="s">
        <v>314</v>
      </c>
      <c r="Q20" s="391">
        <v>106.65853</v>
      </c>
      <c r="R20" s="391">
        <v>-6.6181999999999999</v>
      </c>
      <c r="S20" s="392" t="s">
        <v>977</v>
      </c>
      <c r="T20" s="392">
        <v>49</v>
      </c>
      <c r="U20" s="393">
        <v>44172</v>
      </c>
      <c r="V20" s="392">
        <v>30</v>
      </c>
      <c r="W20" s="393">
        <v>44172</v>
      </c>
      <c r="X20" s="392">
        <v>193</v>
      </c>
      <c r="Y20" s="392" t="s">
        <v>319</v>
      </c>
      <c r="Z20" s="392" t="s">
        <v>171</v>
      </c>
      <c r="AA20" s="392"/>
      <c r="AB20" s="392"/>
      <c r="AC20" s="392"/>
      <c r="AD20" s="392"/>
      <c r="AE20" s="391" t="s">
        <v>1028</v>
      </c>
      <c r="AF20" s="391"/>
      <c r="AG20" s="394">
        <v>44172</v>
      </c>
      <c r="AH20" s="418" t="s">
        <v>981</v>
      </c>
      <c r="AI20" s="392">
        <v>0.3</v>
      </c>
      <c r="AJ20" s="392"/>
      <c r="AK20" s="392"/>
    </row>
    <row r="21" spans="1:37" hidden="1">
      <c r="A21" s="1025"/>
      <c r="B21" s="1032"/>
      <c r="C21" s="1025"/>
      <c r="D21" s="1025"/>
      <c r="E21" s="1025"/>
      <c r="F21" s="1025"/>
      <c r="G21" s="1027"/>
      <c r="H21" s="1027"/>
      <c r="I21" s="1027"/>
      <c r="J21" s="1027"/>
      <c r="K21" s="1027"/>
      <c r="L21" s="1026"/>
      <c r="M21" s="1026"/>
      <c r="N21" s="1026"/>
      <c r="O21" s="1026"/>
      <c r="P21" s="395" t="s">
        <v>179</v>
      </c>
      <c r="Q21" s="395">
        <v>106.65913</v>
      </c>
      <c r="R21" s="395">
        <v>-6.6188599999999997</v>
      </c>
      <c r="S21" s="390" t="s">
        <v>977</v>
      </c>
      <c r="T21" s="390">
        <v>49</v>
      </c>
      <c r="U21" s="485">
        <v>44201</v>
      </c>
      <c r="V21" s="390">
        <v>30</v>
      </c>
      <c r="W21" s="485">
        <v>44201</v>
      </c>
      <c r="X21" s="390" t="s">
        <v>2103</v>
      </c>
      <c r="Y21" s="390" t="s">
        <v>319</v>
      </c>
      <c r="Z21" s="390" t="s">
        <v>171</v>
      </c>
      <c r="AA21" s="390"/>
      <c r="AB21" s="390"/>
      <c r="AC21" s="390"/>
      <c r="AD21" s="390"/>
      <c r="AE21" s="395"/>
      <c r="AF21" s="395"/>
      <c r="AG21" s="559"/>
      <c r="AH21" s="560"/>
      <c r="AI21" s="390"/>
      <c r="AJ21" s="390"/>
      <c r="AK21" s="390"/>
    </row>
    <row r="22" spans="1:37" hidden="1">
      <c r="A22" s="673"/>
      <c r="B22" s="929"/>
      <c r="C22" s="1025"/>
      <c r="D22" s="1025"/>
      <c r="E22" s="1025"/>
      <c r="F22" s="1025"/>
      <c r="G22" s="1027"/>
      <c r="H22" s="1027"/>
      <c r="I22" s="1027"/>
      <c r="J22" s="1027"/>
      <c r="K22" s="1027"/>
      <c r="L22" s="1026"/>
      <c r="M22" s="1026"/>
      <c r="N22" s="1026"/>
      <c r="O22" s="1026"/>
      <c r="P22" s="146" t="s">
        <v>178</v>
      </c>
      <c r="Q22" s="530">
        <v>106.65864999999999</v>
      </c>
      <c r="R22" s="530">
        <v>-6.6202800000000002</v>
      </c>
      <c r="S22" s="916" t="s">
        <v>977</v>
      </c>
      <c r="T22" s="916">
        <v>49</v>
      </c>
      <c r="U22" s="144">
        <v>44272</v>
      </c>
      <c r="V22" s="916">
        <v>30</v>
      </c>
      <c r="W22" s="144">
        <v>44272</v>
      </c>
      <c r="X22" s="916">
        <v>111.84</v>
      </c>
      <c r="Y22" s="916" t="s">
        <v>319</v>
      </c>
      <c r="Z22" s="916" t="s">
        <v>171</v>
      </c>
      <c r="AA22" s="916"/>
      <c r="AB22" s="916"/>
      <c r="AC22" s="916"/>
      <c r="AD22" s="916"/>
      <c r="AE22" s="530"/>
      <c r="AF22" s="530"/>
      <c r="AG22" s="527"/>
      <c r="AH22" s="531"/>
      <c r="AI22" s="916"/>
      <c r="AJ22" s="916"/>
      <c r="AK22" s="916"/>
    </row>
    <row r="23" spans="1:37" hidden="1">
      <c r="A23" s="673"/>
      <c r="B23" s="929"/>
      <c r="C23" s="1025"/>
      <c r="D23" s="1025"/>
      <c r="E23" s="916"/>
      <c r="F23" s="1025"/>
      <c r="G23" s="1027"/>
      <c r="H23" s="1027"/>
      <c r="I23" s="1027"/>
      <c r="J23" s="1027"/>
      <c r="K23" s="1027"/>
      <c r="L23" s="1026"/>
      <c r="M23" s="1026"/>
      <c r="N23" s="1026"/>
      <c r="O23" s="1026"/>
      <c r="P23" s="146" t="s">
        <v>323</v>
      </c>
      <c r="Q23" s="530">
        <v>106.65925</v>
      </c>
      <c r="R23" s="530">
        <v>-6.6189099999999996</v>
      </c>
      <c r="S23" s="916" t="s">
        <v>977</v>
      </c>
      <c r="T23" s="916">
        <v>49</v>
      </c>
      <c r="U23" s="144">
        <v>44363</v>
      </c>
      <c r="V23" s="916"/>
      <c r="W23" s="144">
        <v>44363</v>
      </c>
      <c r="X23" s="916">
        <v>90.7</v>
      </c>
      <c r="Y23" s="916"/>
      <c r="Z23" s="916"/>
      <c r="AA23" s="916"/>
      <c r="AB23" s="916"/>
      <c r="AC23" s="916"/>
      <c r="AD23" s="916"/>
      <c r="AE23" s="530"/>
      <c r="AF23" s="530"/>
      <c r="AG23" s="527"/>
      <c r="AH23" s="531"/>
      <c r="AI23" s="916"/>
      <c r="AJ23" s="916"/>
      <c r="AK23" s="916"/>
    </row>
    <row r="24" spans="1:37" hidden="1">
      <c r="A24" s="676"/>
      <c r="B24" s="929"/>
      <c r="C24" s="1025"/>
      <c r="D24" s="1025"/>
      <c r="E24" s="916"/>
      <c r="F24" s="1025"/>
      <c r="G24" s="1027"/>
      <c r="H24" s="1027"/>
      <c r="I24" s="1027"/>
      <c r="J24" s="1027"/>
      <c r="K24" s="1027"/>
      <c r="L24" s="1026"/>
      <c r="M24" s="1026"/>
      <c r="N24" s="1026"/>
      <c r="O24" s="1026"/>
      <c r="P24" s="146" t="s">
        <v>2015</v>
      </c>
      <c r="Q24" s="530">
        <v>106.66011</v>
      </c>
      <c r="R24" s="530">
        <v>-6.6230599999999997</v>
      </c>
      <c r="S24" s="916" t="s">
        <v>2539</v>
      </c>
      <c r="T24" s="916">
        <v>59</v>
      </c>
      <c r="U24" s="144">
        <v>44426</v>
      </c>
      <c r="V24" s="916"/>
      <c r="W24" s="144">
        <v>44363</v>
      </c>
      <c r="X24" s="916">
        <v>381.34</v>
      </c>
      <c r="Y24" s="916" t="s">
        <v>319</v>
      </c>
      <c r="Z24" s="916"/>
      <c r="AA24" s="916"/>
      <c r="AB24" s="916"/>
      <c r="AC24" s="916"/>
      <c r="AD24" s="916"/>
      <c r="AE24" s="530"/>
      <c r="AF24" s="530"/>
      <c r="AG24" s="527"/>
      <c r="AH24" s="531"/>
      <c r="AI24" s="916"/>
      <c r="AJ24" s="916"/>
      <c r="AK24" s="916"/>
    </row>
    <row r="25" spans="1:37" hidden="1">
      <c r="A25" s="673"/>
      <c r="B25" s="929"/>
      <c r="C25" s="1025"/>
      <c r="D25" s="1025"/>
      <c r="E25" s="916"/>
      <c r="F25" s="1025"/>
      <c r="G25" s="1027"/>
      <c r="H25" s="1027"/>
      <c r="I25" s="1027"/>
      <c r="J25" s="1027"/>
      <c r="K25" s="1027"/>
      <c r="L25" s="1026"/>
      <c r="M25" s="1026"/>
      <c r="N25" s="1026"/>
      <c r="O25" s="1026"/>
      <c r="P25" s="146" t="s">
        <v>1451</v>
      </c>
      <c r="Q25" s="530">
        <v>106.66052999999999</v>
      </c>
      <c r="R25" s="530">
        <v>-6.6227600000000004</v>
      </c>
      <c r="S25" s="916" t="s">
        <v>2964</v>
      </c>
      <c r="T25" s="916">
        <v>59</v>
      </c>
      <c r="U25" s="144">
        <v>44426</v>
      </c>
      <c r="V25" s="916"/>
      <c r="W25" s="144">
        <v>44363</v>
      </c>
      <c r="X25" s="916">
        <v>360.34</v>
      </c>
      <c r="Y25" s="916" t="s">
        <v>319</v>
      </c>
      <c r="Z25" s="916"/>
      <c r="AA25" s="916"/>
      <c r="AB25" s="916"/>
      <c r="AC25" s="916"/>
      <c r="AD25" s="916"/>
      <c r="AE25" s="530"/>
      <c r="AF25" s="530"/>
      <c r="AG25" s="527"/>
      <c r="AH25" s="531"/>
      <c r="AI25" s="916"/>
      <c r="AJ25" s="916"/>
      <c r="AK25" s="916"/>
    </row>
    <row r="26" spans="1:37" hidden="1">
      <c r="A26" s="673" t="s">
        <v>203</v>
      </c>
      <c r="B26" s="928" t="s">
        <v>407</v>
      </c>
      <c r="C26" s="1025" t="s">
        <v>190</v>
      </c>
      <c r="D26" s="1025" t="s">
        <v>891</v>
      </c>
      <c r="E26" s="1025" t="s">
        <v>891</v>
      </c>
      <c r="F26" s="1025" t="s">
        <v>54</v>
      </c>
      <c r="G26" s="1027" t="s">
        <v>11</v>
      </c>
      <c r="H26" s="1027" t="s">
        <v>26</v>
      </c>
      <c r="I26" s="1027" t="s">
        <v>13</v>
      </c>
      <c r="J26" s="1027" t="s">
        <v>893</v>
      </c>
      <c r="K26" s="1027" t="s">
        <v>894</v>
      </c>
      <c r="L26" s="1026">
        <v>42</v>
      </c>
      <c r="M26" s="1026">
        <v>35</v>
      </c>
      <c r="N26" s="1026">
        <v>26</v>
      </c>
      <c r="O26" s="1026">
        <v>150</v>
      </c>
      <c r="P26" s="445" t="s">
        <v>316</v>
      </c>
      <c r="Q26" s="916"/>
      <c r="R26" s="916"/>
      <c r="S26" s="916"/>
      <c r="T26" s="916"/>
      <c r="U26" s="916"/>
      <c r="V26" s="916"/>
      <c r="W26" s="916"/>
      <c r="X26" s="916"/>
      <c r="Y26" s="916"/>
      <c r="Z26" s="916"/>
      <c r="AA26" s="916"/>
      <c r="AB26" s="916" t="s">
        <v>2088</v>
      </c>
      <c r="AC26" s="916"/>
      <c r="AD26" s="916"/>
      <c r="AE26" s="916" t="s">
        <v>1028</v>
      </c>
      <c r="AF26" s="916"/>
      <c r="AG26" s="918"/>
      <c r="AH26" s="526"/>
      <c r="AI26" s="916"/>
      <c r="AJ26" s="916"/>
      <c r="AK26" s="916"/>
    </row>
    <row r="27" spans="1:37" hidden="1">
      <c r="A27" s="673"/>
      <c r="B27" s="928"/>
      <c r="C27" s="1025"/>
      <c r="D27" s="1025"/>
      <c r="E27" s="1025"/>
      <c r="F27" s="1025"/>
      <c r="G27" s="1027"/>
      <c r="H27" s="1027"/>
      <c r="I27" s="1027"/>
      <c r="J27" s="1027"/>
      <c r="K27" s="1027"/>
      <c r="L27" s="1026"/>
      <c r="M27" s="1026"/>
      <c r="N27" s="1026"/>
      <c r="O27" s="1026"/>
      <c r="P27" s="445" t="s">
        <v>314</v>
      </c>
      <c r="Q27" s="916"/>
      <c r="R27" s="916"/>
      <c r="S27" s="916"/>
      <c r="T27" s="916"/>
      <c r="U27" s="916"/>
      <c r="V27" s="916"/>
      <c r="W27" s="916"/>
      <c r="X27" s="916"/>
      <c r="Y27" s="916"/>
      <c r="Z27" s="916"/>
      <c r="AA27" s="916"/>
      <c r="AB27" s="916" t="s">
        <v>2090</v>
      </c>
      <c r="AC27" s="916"/>
      <c r="AD27" s="916"/>
      <c r="AE27" s="916" t="s">
        <v>1028</v>
      </c>
      <c r="AF27" s="916"/>
      <c r="AG27" s="918"/>
      <c r="AH27" s="526"/>
      <c r="AI27" s="916"/>
      <c r="AJ27" s="916"/>
      <c r="AK27" s="916"/>
    </row>
    <row r="28" spans="1:37" hidden="1">
      <c r="A28" s="673"/>
      <c r="B28" s="928"/>
      <c r="C28" s="1025"/>
      <c r="D28" s="1025"/>
      <c r="E28" s="1025"/>
      <c r="F28" s="1025"/>
      <c r="G28" s="1027"/>
      <c r="H28" s="1027"/>
      <c r="I28" s="1027"/>
      <c r="J28" s="1027"/>
      <c r="K28" s="1027"/>
      <c r="L28" s="1026"/>
      <c r="M28" s="1026"/>
      <c r="N28" s="1026"/>
      <c r="O28" s="1026"/>
      <c r="P28" s="445" t="s">
        <v>179</v>
      </c>
      <c r="Q28" s="916"/>
      <c r="R28" s="916"/>
      <c r="S28" s="916"/>
      <c r="T28" s="916"/>
      <c r="U28" s="916"/>
      <c r="V28" s="916"/>
      <c r="W28" s="916"/>
      <c r="X28" s="916"/>
      <c r="Y28" s="916"/>
      <c r="Z28" s="916"/>
      <c r="AA28" s="916"/>
      <c r="AB28" s="916" t="s">
        <v>2089</v>
      </c>
      <c r="AC28" s="916"/>
      <c r="AD28" s="916"/>
      <c r="AE28" s="916"/>
      <c r="AF28" s="916"/>
      <c r="AG28" s="918"/>
      <c r="AH28" s="526"/>
      <c r="AI28" s="916"/>
      <c r="AJ28" s="916"/>
      <c r="AK28" s="916"/>
    </row>
    <row r="29" spans="1:37" hidden="1">
      <c r="A29" s="673"/>
      <c r="B29" s="928"/>
      <c r="C29" s="1025"/>
      <c r="D29" s="1025"/>
      <c r="E29" s="1025"/>
      <c r="F29" s="1025"/>
      <c r="G29" s="1027"/>
      <c r="H29" s="1027"/>
      <c r="I29" s="1027"/>
      <c r="J29" s="1027"/>
      <c r="K29" s="1027"/>
      <c r="L29" s="1026"/>
      <c r="M29" s="1026"/>
      <c r="N29" s="1026"/>
      <c r="O29" s="1026"/>
      <c r="P29" s="916" t="s">
        <v>178</v>
      </c>
      <c r="Q29" s="916">
        <v>106.69343000000001</v>
      </c>
      <c r="R29" s="916">
        <v>-6.3916399999999998</v>
      </c>
      <c r="S29" s="916" t="s">
        <v>977</v>
      </c>
      <c r="T29" s="916">
        <v>45</v>
      </c>
      <c r="U29" s="144">
        <v>44196</v>
      </c>
      <c r="V29" s="916"/>
      <c r="W29" s="916"/>
      <c r="X29" s="916">
        <v>304.60000000000002</v>
      </c>
      <c r="Y29" s="916" t="s">
        <v>319</v>
      </c>
      <c r="Z29" s="916" t="s">
        <v>171</v>
      </c>
      <c r="AA29" s="916"/>
      <c r="AB29" s="916"/>
      <c r="AC29" s="916"/>
      <c r="AD29" s="916"/>
      <c r="AE29" s="916"/>
      <c r="AF29" s="916"/>
      <c r="AG29" s="918"/>
      <c r="AH29" s="526"/>
      <c r="AI29" s="916"/>
      <c r="AJ29" s="916"/>
      <c r="AK29" s="916"/>
    </row>
    <row r="30" spans="1:37" hidden="1">
      <c r="A30" s="673"/>
      <c r="B30" s="928"/>
      <c r="C30" s="1025"/>
      <c r="D30" s="1025"/>
      <c r="E30" s="1025"/>
      <c r="F30" s="1025"/>
      <c r="G30" s="1027"/>
      <c r="H30" s="1027"/>
      <c r="I30" s="1027"/>
      <c r="J30" s="1027"/>
      <c r="K30" s="1027"/>
      <c r="L30" s="1026"/>
      <c r="M30" s="1026"/>
      <c r="N30" s="1026"/>
      <c r="O30" s="1026"/>
      <c r="P30" s="916" t="s">
        <v>323</v>
      </c>
      <c r="Q30" s="916">
        <v>106.69394</v>
      </c>
      <c r="R30" s="916">
        <v>-6.3899800000000004</v>
      </c>
      <c r="S30" s="916" t="s">
        <v>977</v>
      </c>
      <c r="T30" s="916">
        <v>45</v>
      </c>
      <c r="U30" s="144">
        <v>44256</v>
      </c>
      <c r="V30" s="916"/>
      <c r="W30" s="916"/>
      <c r="X30" s="916">
        <v>387.6</v>
      </c>
      <c r="Y30" s="916" t="s">
        <v>319</v>
      </c>
      <c r="Z30" s="916" t="s">
        <v>171</v>
      </c>
      <c r="AA30" s="916"/>
      <c r="AB30" s="916"/>
      <c r="AC30" s="916"/>
      <c r="AD30" s="916"/>
      <c r="AE30" s="916"/>
      <c r="AF30" s="916"/>
      <c r="AG30" s="918"/>
      <c r="AH30" s="526"/>
      <c r="AI30" s="916"/>
      <c r="AJ30" s="916"/>
      <c r="AK30" s="916"/>
    </row>
    <row r="31" spans="1:37" hidden="1">
      <c r="A31" s="1025" t="s">
        <v>204</v>
      </c>
      <c r="B31" s="1031" t="s">
        <v>408</v>
      </c>
      <c r="C31" s="1025" t="s">
        <v>191</v>
      </c>
      <c r="D31" s="1025" t="s">
        <v>895</v>
      </c>
      <c r="E31" s="1025" t="s">
        <v>895</v>
      </c>
      <c r="F31" s="1025" t="s">
        <v>54</v>
      </c>
      <c r="G31" s="1027" t="s">
        <v>11</v>
      </c>
      <c r="H31" s="1027" t="s">
        <v>19</v>
      </c>
      <c r="I31" s="1027" t="s">
        <v>20</v>
      </c>
      <c r="J31" s="1027" t="s">
        <v>897</v>
      </c>
      <c r="K31" s="1027" t="s">
        <v>898</v>
      </c>
      <c r="L31" s="1026">
        <v>42</v>
      </c>
      <c r="M31" s="1026">
        <v>35</v>
      </c>
      <c r="N31" s="1026">
        <v>30</v>
      </c>
      <c r="O31" s="1026">
        <v>150</v>
      </c>
      <c r="P31" s="390" t="s">
        <v>316</v>
      </c>
      <c r="Q31" s="390">
        <v>106.68555000000001</v>
      </c>
      <c r="R31" s="390">
        <v>-6.0759100000000004</v>
      </c>
      <c r="S31" s="390" t="s">
        <v>984</v>
      </c>
      <c r="T31" s="390">
        <v>35</v>
      </c>
      <c r="U31" s="485">
        <v>44182</v>
      </c>
      <c r="V31" s="390">
        <v>30</v>
      </c>
      <c r="W31" s="485">
        <v>44182</v>
      </c>
      <c r="X31" s="390" t="s">
        <v>1117</v>
      </c>
      <c r="Y31" s="390" t="s">
        <v>319</v>
      </c>
      <c r="Z31" s="390" t="s">
        <v>171</v>
      </c>
      <c r="AA31" s="390"/>
      <c r="AB31" s="390"/>
      <c r="AC31" s="390"/>
      <c r="AD31" s="390"/>
      <c r="AE31" s="390" t="s">
        <v>2342</v>
      </c>
      <c r="AF31" s="390" t="s">
        <v>2343</v>
      </c>
      <c r="AG31" s="486"/>
      <c r="AH31" s="487"/>
      <c r="AI31" s="390"/>
      <c r="AJ31" s="390"/>
      <c r="AK31" s="390"/>
    </row>
    <row r="32" spans="1:37" hidden="1">
      <c r="A32" s="1025"/>
      <c r="B32" s="1031"/>
      <c r="C32" s="1025"/>
      <c r="D32" s="1025"/>
      <c r="E32" s="1025"/>
      <c r="F32" s="1025"/>
      <c r="G32" s="1027"/>
      <c r="H32" s="1027"/>
      <c r="I32" s="1027"/>
      <c r="J32" s="1027"/>
      <c r="K32" s="1027"/>
      <c r="L32" s="1026"/>
      <c r="M32" s="1026"/>
      <c r="N32" s="1026"/>
      <c r="O32" s="1026"/>
      <c r="P32" s="916" t="s">
        <v>314</v>
      </c>
      <c r="Q32" s="916">
        <v>106.68528999999999</v>
      </c>
      <c r="R32" s="916">
        <v>-6.0757000000000003</v>
      </c>
      <c r="S32" s="916" t="s">
        <v>984</v>
      </c>
      <c r="T32" s="916">
        <v>35</v>
      </c>
      <c r="U32" s="144"/>
      <c r="V32" s="916"/>
      <c r="W32" s="144"/>
      <c r="X32" s="916"/>
      <c r="Y32" s="916"/>
      <c r="Z32" s="916"/>
      <c r="AA32" s="916"/>
      <c r="AB32" s="916"/>
      <c r="AC32" s="916"/>
      <c r="AD32" s="916"/>
      <c r="AE32" s="916" t="s">
        <v>2342</v>
      </c>
      <c r="AF32" s="916" t="s">
        <v>2344</v>
      </c>
      <c r="AG32" s="918"/>
      <c r="AH32" s="526"/>
      <c r="AI32" s="916"/>
      <c r="AJ32" s="916"/>
      <c r="AK32" s="916"/>
    </row>
    <row r="33" spans="1:37" hidden="1">
      <c r="A33" s="1025"/>
      <c r="B33" s="1031"/>
      <c r="C33" s="1025"/>
      <c r="D33" s="1025"/>
      <c r="E33" s="1025"/>
      <c r="F33" s="1025"/>
      <c r="G33" s="1027"/>
      <c r="H33" s="1027"/>
      <c r="I33" s="1027"/>
      <c r="J33" s="1027"/>
      <c r="K33" s="1027"/>
      <c r="L33" s="1026"/>
      <c r="M33" s="1026"/>
      <c r="N33" s="1026"/>
      <c r="O33" s="1026"/>
      <c r="P33" s="916" t="s">
        <v>179</v>
      </c>
      <c r="Q33" s="916">
        <v>106.68508</v>
      </c>
      <c r="R33" s="916">
        <v>-6.0776399999999997</v>
      </c>
      <c r="S33" s="916" t="s">
        <v>984</v>
      </c>
      <c r="T33" s="916">
        <v>40.5</v>
      </c>
      <c r="U33" s="144">
        <v>44237</v>
      </c>
      <c r="V33" s="916"/>
      <c r="W33" s="144">
        <v>44237</v>
      </c>
      <c r="X33" s="916" t="s">
        <v>2330</v>
      </c>
      <c r="Y33" s="916" t="s">
        <v>319</v>
      </c>
      <c r="Z33" s="916" t="s">
        <v>171</v>
      </c>
      <c r="AA33" s="916"/>
      <c r="AB33" s="916"/>
      <c r="AC33" s="916"/>
      <c r="AD33" s="916"/>
      <c r="AE33" s="916" t="s">
        <v>1098</v>
      </c>
      <c r="AF33" s="916" t="s">
        <v>1098</v>
      </c>
      <c r="AG33" s="918"/>
      <c r="AH33" s="526"/>
      <c r="AI33" s="916"/>
      <c r="AJ33" s="916"/>
      <c r="AK33" s="916"/>
    </row>
    <row r="34" spans="1:37" hidden="1">
      <c r="A34" s="673"/>
      <c r="B34" s="928"/>
      <c r="C34" s="1025"/>
      <c r="D34" s="1025"/>
      <c r="E34" s="916"/>
      <c r="F34" s="1025"/>
      <c r="G34" s="1027"/>
      <c r="H34" s="1027"/>
      <c r="I34" s="1027"/>
      <c r="J34" s="1027"/>
      <c r="K34" s="1027"/>
      <c r="L34" s="1026"/>
      <c r="M34" s="1026"/>
      <c r="N34" s="1026"/>
      <c r="O34" s="1026"/>
      <c r="P34" s="916" t="s">
        <v>178</v>
      </c>
      <c r="Q34" s="916">
        <v>106.68402</v>
      </c>
      <c r="R34" s="916">
        <v>-6.0774100000000004</v>
      </c>
      <c r="S34" s="916" t="s">
        <v>984</v>
      </c>
      <c r="T34" s="916">
        <v>40.5</v>
      </c>
      <c r="U34" s="144">
        <v>44326</v>
      </c>
      <c r="V34" s="916"/>
      <c r="W34" s="144">
        <v>44326</v>
      </c>
      <c r="X34" s="916" t="s">
        <v>2429</v>
      </c>
      <c r="Y34" s="916" t="s">
        <v>319</v>
      </c>
      <c r="Z34" s="916" t="s">
        <v>171</v>
      </c>
      <c r="AA34" s="916"/>
      <c r="AB34" s="916"/>
      <c r="AC34" s="916"/>
      <c r="AD34" s="916"/>
      <c r="AE34" s="916"/>
      <c r="AF34" s="916"/>
      <c r="AG34" s="918"/>
      <c r="AH34" s="526"/>
      <c r="AI34" s="916"/>
      <c r="AJ34" s="916"/>
      <c r="AK34" s="916"/>
    </row>
    <row r="35" spans="1:37" hidden="1">
      <c r="A35" s="673" t="s">
        <v>205</v>
      </c>
      <c r="B35" s="928" t="s">
        <v>409</v>
      </c>
      <c r="C35" s="1025" t="s">
        <v>192</v>
      </c>
      <c r="D35" s="1025" t="s">
        <v>899</v>
      </c>
      <c r="E35" s="1025" t="s">
        <v>899</v>
      </c>
      <c r="F35" s="1025" t="s">
        <v>54</v>
      </c>
      <c r="G35" s="1027" t="s">
        <v>11</v>
      </c>
      <c r="H35" s="1027" t="s">
        <v>19</v>
      </c>
      <c r="I35" s="1027" t="s">
        <v>20</v>
      </c>
      <c r="J35" s="1027" t="s">
        <v>901</v>
      </c>
      <c r="K35" s="1027" t="s">
        <v>902</v>
      </c>
      <c r="L35" s="1026">
        <v>42</v>
      </c>
      <c r="M35" s="1026">
        <v>39</v>
      </c>
      <c r="N35" s="1026">
        <v>30</v>
      </c>
      <c r="O35" s="1029">
        <v>150</v>
      </c>
      <c r="P35" s="532" t="s">
        <v>316</v>
      </c>
      <c r="Q35" s="445">
        <v>106.47498</v>
      </c>
      <c r="R35" s="445">
        <v>-6.2458900000000002</v>
      </c>
      <c r="S35" s="916" t="s">
        <v>984</v>
      </c>
      <c r="T35" s="916">
        <v>39</v>
      </c>
      <c r="U35" s="144">
        <v>44172</v>
      </c>
      <c r="V35" s="916">
        <v>30</v>
      </c>
      <c r="W35" s="144">
        <v>44172</v>
      </c>
      <c r="X35" s="916">
        <v>430</v>
      </c>
      <c r="Y35" s="916" t="s">
        <v>319</v>
      </c>
      <c r="Z35" s="916" t="s">
        <v>171</v>
      </c>
      <c r="AA35" s="916" t="s">
        <v>1119</v>
      </c>
      <c r="AB35" s="916"/>
      <c r="AC35" s="916"/>
      <c r="AD35" s="916"/>
      <c r="AE35" s="533" t="s">
        <v>1028</v>
      </c>
      <c r="AF35" s="530" t="s">
        <v>1065</v>
      </c>
      <c r="AG35" s="534">
        <v>44172</v>
      </c>
      <c r="AH35" s="531" t="s">
        <v>981</v>
      </c>
      <c r="AI35" s="531">
        <v>0.3</v>
      </c>
      <c r="AJ35" s="531"/>
      <c r="AK35" s="916"/>
    </row>
    <row r="36" spans="1:37" hidden="1">
      <c r="A36" s="673"/>
      <c r="B36" s="928"/>
      <c r="C36" s="1025"/>
      <c r="D36" s="1025"/>
      <c r="E36" s="1025"/>
      <c r="F36" s="1025"/>
      <c r="G36" s="1027"/>
      <c r="H36" s="1027"/>
      <c r="I36" s="1027"/>
      <c r="J36" s="1027"/>
      <c r="K36" s="1027"/>
      <c r="L36" s="1026"/>
      <c r="M36" s="1026"/>
      <c r="N36" s="1026"/>
      <c r="O36" s="1029"/>
      <c r="P36" s="532" t="s">
        <v>314</v>
      </c>
      <c r="Q36" s="445">
        <v>106.47403</v>
      </c>
      <c r="R36" s="445">
        <v>-6.2400200000000003</v>
      </c>
      <c r="S36" s="916">
        <v>42</v>
      </c>
      <c r="T36" s="916">
        <v>39</v>
      </c>
      <c r="U36" s="144">
        <v>44229</v>
      </c>
      <c r="V36" s="916"/>
      <c r="W36" s="144"/>
      <c r="X36" s="916">
        <v>699.99</v>
      </c>
      <c r="Y36" s="916" t="s">
        <v>319</v>
      </c>
      <c r="Z36" s="916" t="s">
        <v>171</v>
      </c>
      <c r="AA36" s="916"/>
      <c r="AB36" s="916"/>
      <c r="AC36" s="916"/>
      <c r="AD36" s="916"/>
      <c r="AE36" s="533"/>
      <c r="AF36" s="530"/>
      <c r="AG36" s="534"/>
      <c r="AH36" s="531"/>
      <c r="AI36" s="531"/>
      <c r="AJ36" s="531"/>
      <c r="AK36" s="916"/>
    </row>
    <row r="37" spans="1:37" hidden="1">
      <c r="A37" s="673"/>
      <c r="B37" s="928"/>
      <c r="C37" s="1025"/>
      <c r="D37" s="1025"/>
      <c r="E37" s="1025"/>
      <c r="F37" s="1025"/>
      <c r="G37" s="1027"/>
      <c r="H37" s="1027"/>
      <c r="I37" s="1027"/>
      <c r="J37" s="1027"/>
      <c r="K37" s="1027"/>
      <c r="L37" s="1026"/>
      <c r="M37" s="1026"/>
      <c r="N37" s="1026"/>
      <c r="O37" s="1029"/>
      <c r="P37" s="535" t="s">
        <v>179</v>
      </c>
      <c r="Q37" s="920">
        <v>106.47436999999999</v>
      </c>
      <c r="R37" s="920">
        <v>-6.2487000000000004</v>
      </c>
      <c r="S37" s="916">
        <v>52</v>
      </c>
      <c r="T37" s="916">
        <v>49</v>
      </c>
      <c r="U37" s="144">
        <v>44229</v>
      </c>
      <c r="V37" s="916"/>
      <c r="W37" s="144"/>
      <c r="X37" s="916">
        <v>602.47</v>
      </c>
      <c r="Y37" s="916" t="s">
        <v>319</v>
      </c>
      <c r="Z37" s="916" t="s">
        <v>171</v>
      </c>
      <c r="AA37" s="916"/>
      <c r="AB37" s="916"/>
      <c r="AC37" s="916"/>
      <c r="AD37" s="916"/>
      <c r="AE37" s="533"/>
      <c r="AF37" s="530"/>
      <c r="AG37" s="534"/>
      <c r="AH37" s="531"/>
      <c r="AI37" s="531"/>
      <c r="AJ37" s="531"/>
      <c r="AK37" s="916"/>
    </row>
    <row r="38" spans="1:37" hidden="1">
      <c r="A38" s="673"/>
      <c r="B38" s="928"/>
      <c r="C38" s="1025"/>
      <c r="D38" s="1025"/>
      <c r="E38" s="916"/>
      <c r="F38" s="1025"/>
      <c r="G38" s="1027"/>
      <c r="H38" s="1027"/>
      <c r="I38" s="1027"/>
      <c r="J38" s="1027"/>
      <c r="K38" s="1027"/>
      <c r="L38" s="1026"/>
      <c r="M38" s="1026"/>
      <c r="N38" s="1026"/>
      <c r="O38" s="1029"/>
      <c r="P38" s="535" t="s">
        <v>178</v>
      </c>
      <c r="Q38" s="920">
        <v>106.48057</v>
      </c>
      <c r="R38" s="920">
        <v>-6.2440600000000002</v>
      </c>
      <c r="S38" s="916">
        <v>52</v>
      </c>
      <c r="T38" s="916">
        <v>44</v>
      </c>
      <c r="U38" s="144">
        <v>44361</v>
      </c>
      <c r="V38" s="916"/>
      <c r="W38" s="144"/>
      <c r="X38" s="916">
        <v>276.77999999999997</v>
      </c>
      <c r="Y38" s="916" t="s">
        <v>319</v>
      </c>
      <c r="Z38" s="916"/>
      <c r="AA38" s="916"/>
      <c r="AB38" s="916"/>
      <c r="AC38" s="916"/>
      <c r="AD38" s="916"/>
      <c r="AE38" s="533"/>
      <c r="AF38" s="530"/>
      <c r="AG38" s="534"/>
      <c r="AH38" s="531"/>
      <c r="AI38" s="531"/>
      <c r="AJ38" s="531"/>
      <c r="AK38" s="916"/>
    </row>
    <row r="39" spans="1:37" hidden="1">
      <c r="A39" s="673" t="s">
        <v>206</v>
      </c>
      <c r="B39" s="928" t="s">
        <v>410</v>
      </c>
      <c r="C39" s="916" t="s">
        <v>193</v>
      </c>
      <c r="D39" s="916" t="s">
        <v>903</v>
      </c>
      <c r="E39" s="916" t="s">
        <v>903</v>
      </c>
      <c r="F39" s="916" t="s">
        <v>54</v>
      </c>
      <c r="G39" s="918" t="s">
        <v>11</v>
      </c>
      <c r="H39" s="918" t="s">
        <v>53</v>
      </c>
      <c r="I39" s="918" t="s">
        <v>13</v>
      </c>
      <c r="J39" s="918" t="s">
        <v>905</v>
      </c>
      <c r="K39" s="918" t="s">
        <v>906</v>
      </c>
      <c r="L39" s="917">
        <v>42</v>
      </c>
      <c r="M39" s="917">
        <v>35</v>
      </c>
      <c r="N39" s="917">
        <v>30</v>
      </c>
      <c r="O39" s="917">
        <v>150</v>
      </c>
      <c r="P39" s="586" t="s">
        <v>316</v>
      </c>
      <c r="Q39" s="587">
        <v>107.00879</v>
      </c>
      <c r="R39" s="445">
        <v>-6.2245799999999996</v>
      </c>
      <c r="S39" s="445" t="s">
        <v>984</v>
      </c>
      <c r="T39" s="445">
        <v>35</v>
      </c>
      <c r="U39" s="491">
        <v>44194</v>
      </c>
      <c r="V39" s="445"/>
      <c r="W39" s="491">
        <v>44194</v>
      </c>
      <c r="X39" s="491" t="s">
        <v>2079</v>
      </c>
      <c r="Y39" s="445" t="s">
        <v>319</v>
      </c>
      <c r="Z39" s="445" t="s">
        <v>171</v>
      </c>
      <c r="AA39" s="916"/>
      <c r="AB39" s="916"/>
      <c r="AC39" s="916"/>
      <c r="AD39" s="916"/>
      <c r="AE39" s="916"/>
      <c r="AF39" s="916"/>
      <c r="AG39" s="918"/>
      <c r="AH39" s="526"/>
      <c r="AI39" s="916"/>
      <c r="AJ39" s="916"/>
      <c r="AK39" s="916"/>
    </row>
    <row r="40" spans="1:37" hidden="1">
      <c r="A40" s="673"/>
      <c r="B40" s="928"/>
      <c r="C40" s="916"/>
      <c r="D40" s="916"/>
      <c r="E40" s="916"/>
      <c r="F40" s="916"/>
      <c r="G40" s="918"/>
      <c r="H40" s="918"/>
      <c r="I40" s="918"/>
      <c r="J40" s="918"/>
      <c r="K40" s="918"/>
      <c r="L40" s="917"/>
      <c r="M40" s="917"/>
      <c r="N40" s="917"/>
      <c r="O40" s="917"/>
      <c r="P40" s="915" t="s">
        <v>179</v>
      </c>
      <c r="Q40" s="536">
        <v>107.00749999999999</v>
      </c>
      <c r="R40" s="916">
        <v>-6.2249400000000001</v>
      </c>
      <c r="S40" s="916" t="s">
        <v>977</v>
      </c>
      <c r="T40" s="916">
        <v>45</v>
      </c>
      <c r="U40" s="144">
        <v>44337</v>
      </c>
      <c r="V40" s="916"/>
      <c r="W40" s="144"/>
      <c r="X40" s="144" t="s">
        <v>2430</v>
      </c>
      <c r="Y40" s="916"/>
      <c r="Z40" s="916"/>
      <c r="AA40" s="916"/>
      <c r="AB40" s="916"/>
      <c r="AC40" s="916"/>
      <c r="AD40" s="916"/>
      <c r="AE40" s="916"/>
      <c r="AF40" s="916"/>
      <c r="AG40" s="918"/>
      <c r="AH40" s="526"/>
      <c r="AI40" s="916"/>
      <c r="AJ40" s="916"/>
      <c r="AK40" s="916"/>
    </row>
    <row r="41" spans="1:37" hidden="1">
      <c r="A41" s="1025" t="s">
        <v>207</v>
      </c>
      <c r="B41" s="1031" t="s">
        <v>411</v>
      </c>
      <c r="C41" s="1025" t="s">
        <v>194</v>
      </c>
      <c r="D41" s="1025" t="s">
        <v>907</v>
      </c>
      <c r="E41" s="1025" t="s">
        <v>907</v>
      </c>
      <c r="F41" s="1025" t="s">
        <v>54</v>
      </c>
      <c r="G41" s="1027" t="s">
        <v>5</v>
      </c>
      <c r="H41" s="1027" t="s">
        <v>21</v>
      </c>
      <c r="I41" s="1027" t="s">
        <v>20</v>
      </c>
      <c r="J41" s="1027" t="s">
        <v>909</v>
      </c>
      <c r="K41" s="1027" t="s">
        <v>910</v>
      </c>
      <c r="L41" s="1026">
        <v>42</v>
      </c>
      <c r="M41" s="1026">
        <v>35</v>
      </c>
      <c r="N41" s="1026">
        <v>30</v>
      </c>
      <c r="O41" s="1026">
        <v>150</v>
      </c>
      <c r="P41" s="916" t="s">
        <v>316</v>
      </c>
      <c r="Q41" s="916">
        <v>106.595985</v>
      </c>
      <c r="R41" s="916">
        <v>-6.168183</v>
      </c>
      <c r="S41" s="916" t="s">
        <v>984</v>
      </c>
      <c r="T41" s="916">
        <v>35</v>
      </c>
      <c r="U41" s="144">
        <v>44200</v>
      </c>
      <c r="V41" s="916"/>
      <c r="W41" s="144">
        <v>44200</v>
      </c>
      <c r="X41" s="916" t="s">
        <v>2099</v>
      </c>
      <c r="Y41" s="916"/>
      <c r="Z41" s="916"/>
      <c r="AA41" s="916"/>
      <c r="AB41" s="916"/>
      <c r="AC41" s="916"/>
      <c r="AD41" s="916"/>
      <c r="AE41" s="916"/>
      <c r="AF41" s="916"/>
      <c r="AG41" s="918"/>
      <c r="AH41" s="526"/>
      <c r="AI41" s="916"/>
      <c r="AJ41" s="916"/>
      <c r="AK41" s="916"/>
    </row>
    <row r="42" spans="1:37" hidden="1">
      <c r="A42" s="1025"/>
      <c r="B42" s="1031"/>
      <c r="C42" s="1025"/>
      <c r="D42" s="1025"/>
      <c r="E42" s="1025"/>
      <c r="F42" s="1025"/>
      <c r="G42" s="1027"/>
      <c r="H42" s="1027"/>
      <c r="I42" s="1027"/>
      <c r="J42" s="1027"/>
      <c r="K42" s="1027"/>
      <c r="L42" s="1026"/>
      <c r="M42" s="1026"/>
      <c r="N42" s="1026"/>
      <c r="O42" s="1026"/>
      <c r="P42" s="916" t="s">
        <v>2097</v>
      </c>
      <c r="Q42" s="916">
        <v>106.5959</v>
      </c>
      <c r="R42" s="916">
        <v>-6.1710099999999999</v>
      </c>
      <c r="S42" s="916" t="s">
        <v>984</v>
      </c>
      <c r="T42" s="916">
        <v>35</v>
      </c>
      <c r="U42" s="144">
        <v>44200</v>
      </c>
      <c r="V42" s="916"/>
      <c r="W42" s="144">
        <v>44200</v>
      </c>
      <c r="X42" s="916" t="s">
        <v>2098</v>
      </c>
      <c r="Y42" s="916"/>
      <c r="Z42" s="916"/>
      <c r="AA42" s="916"/>
      <c r="AB42" s="916"/>
      <c r="AC42" s="916"/>
      <c r="AD42" s="916"/>
      <c r="AE42" s="916"/>
      <c r="AF42" s="916"/>
      <c r="AG42" s="918"/>
      <c r="AH42" s="526"/>
      <c r="AI42" s="916"/>
      <c r="AJ42" s="916"/>
      <c r="AK42" s="916"/>
    </row>
    <row r="43" spans="1:37" hidden="1">
      <c r="A43" s="1025" t="s">
        <v>208</v>
      </c>
      <c r="B43" s="1031" t="s">
        <v>412</v>
      </c>
      <c r="C43" s="1025" t="s">
        <v>195</v>
      </c>
      <c r="D43" s="1025" t="s">
        <v>911</v>
      </c>
      <c r="E43" s="1025" t="s">
        <v>911</v>
      </c>
      <c r="F43" s="1025" t="s">
        <v>54</v>
      </c>
      <c r="G43" s="1027" t="s">
        <v>11</v>
      </c>
      <c r="H43" s="1027" t="s">
        <v>19</v>
      </c>
      <c r="I43" s="1027" t="s">
        <v>20</v>
      </c>
      <c r="J43" s="1027" t="s">
        <v>913</v>
      </c>
      <c r="K43" s="1027" t="s">
        <v>914</v>
      </c>
      <c r="L43" s="1026">
        <v>42</v>
      </c>
      <c r="M43" s="1026">
        <v>35</v>
      </c>
      <c r="N43" s="1026">
        <v>30</v>
      </c>
      <c r="O43" s="1026">
        <v>150</v>
      </c>
      <c r="P43" s="916" t="s">
        <v>316</v>
      </c>
      <c r="Q43" s="146">
        <v>106.64662</v>
      </c>
      <c r="R43" s="146">
        <v>-6.1077899999999996</v>
      </c>
      <c r="S43" s="916">
        <v>32</v>
      </c>
      <c r="T43" s="916">
        <v>35</v>
      </c>
      <c r="U43" s="144">
        <v>44182</v>
      </c>
      <c r="V43" s="916"/>
      <c r="W43" s="916"/>
      <c r="X43" s="916">
        <v>547</v>
      </c>
      <c r="Y43" s="916" t="s">
        <v>319</v>
      </c>
      <c r="Z43" s="916" t="s">
        <v>171</v>
      </c>
      <c r="AA43" s="916"/>
      <c r="AB43" s="916"/>
      <c r="AC43" s="916"/>
      <c r="AD43" s="916"/>
      <c r="AE43" s="916"/>
      <c r="AF43" s="916"/>
      <c r="AG43" s="918"/>
      <c r="AH43" s="526"/>
      <c r="AI43" s="916"/>
      <c r="AJ43" s="916"/>
      <c r="AK43" s="916"/>
    </row>
    <row r="44" spans="1:37" hidden="1">
      <c r="A44" s="1025"/>
      <c r="B44" s="1031"/>
      <c r="C44" s="1025"/>
      <c r="D44" s="1025"/>
      <c r="E44" s="1025"/>
      <c r="F44" s="1025"/>
      <c r="G44" s="1027"/>
      <c r="H44" s="1027"/>
      <c r="I44" s="1027"/>
      <c r="J44" s="1027"/>
      <c r="K44" s="1027"/>
      <c r="L44" s="1026"/>
      <c r="M44" s="1026"/>
      <c r="N44" s="1026"/>
      <c r="O44" s="1026"/>
      <c r="P44" s="916" t="s">
        <v>314</v>
      </c>
      <c r="Q44" s="916">
        <v>106.64596</v>
      </c>
      <c r="R44" s="916">
        <v>-6.1097000000000001</v>
      </c>
      <c r="S44" s="916">
        <v>25</v>
      </c>
      <c r="T44" s="916">
        <v>30</v>
      </c>
      <c r="U44" s="144">
        <v>44182</v>
      </c>
      <c r="V44" s="916"/>
      <c r="W44" s="916"/>
      <c r="X44" s="916">
        <v>375</v>
      </c>
      <c r="Y44" s="916" t="s">
        <v>319</v>
      </c>
      <c r="Z44" s="916" t="s">
        <v>171</v>
      </c>
      <c r="AA44" s="916"/>
      <c r="AB44" s="916"/>
      <c r="AC44" s="916"/>
      <c r="AD44" s="916"/>
      <c r="AE44" s="916"/>
      <c r="AF44" s="916"/>
      <c r="AG44" s="918"/>
      <c r="AH44" s="526"/>
      <c r="AI44" s="916"/>
      <c r="AJ44" s="916"/>
      <c r="AK44" s="916"/>
    </row>
    <row r="45" spans="1:37" hidden="1">
      <c r="A45" s="673" t="s">
        <v>209</v>
      </c>
      <c r="B45" s="928" t="s">
        <v>413</v>
      </c>
      <c r="C45" s="1025" t="s">
        <v>196</v>
      </c>
      <c r="D45" s="1025" t="s">
        <v>915</v>
      </c>
      <c r="E45" s="1025" t="s">
        <v>915</v>
      </c>
      <c r="F45" s="1025" t="s">
        <v>54</v>
      </c>
      <c r="G45" s="1027" t="s">
        <v>5</v>
      </c>
      <c r="H45" s="1027" t="s">
        <v>497</v>
      </c>
      <c r="I45" s="1027" t="s">
        <v>13</v>
      </c>
      <c r="J45" s="1028">
        <v>-6.3796600000000003</v>
      </c>
      <c r="K45" s="1027" t="s">
        <v>918</v>
      </c>
      <c r="L45" s="1026">
        <v>42</v>
      </c>
      <c r="M45" s="1026">
        <v>35</v>
      </c>
      <c r="N45" s="1026">
        <v>30</v>
      </c>
      <c r="O45" s="1026">
        <v>150</v>
      </c>
      <c r="P45" s="392" t="s">
        <v>316</v>
      </c>
      <c r="Q45" s="577">
        <v>106.77760000000001</v>
      </c>
      <c r="R45" s="392">
        <v>-6.3801699999999997</v>
      </c>
      <c r="S45" s="392">
        <v>32</v>
      </c>
      <c r="T45" s="392">
        <v>30</v>
      </c>
      <c r="U45" s="393">
        <v>44182</v>
      </c>
      <c r="V45" s="392"/>
      <c r="W45" s="393">
        <v>44182</v>
      </c>
      <c r="X45" s="392"/>
      <c r="Y45" s="392" t="s">
        <v>1105</v>
      </c>
      <c r="Z45" s="392" t="s">
        <v>171</v>
      </c>
      <c r="AA45" s="392"/>
      <c r="AB45" s="392"/>
      <c r="AC45" s="392"/>
      <c r="AD45" s="392"/>
      <c r="AE45" s="392"/>
      <c r="AF45" s="392"/>
      <c r="AG45" s="410"/>
      <c r="AH45" s="448"/>
      <c r="AI45" s="392"/>
      <c r="AJ45" s="392"/>
      <c r="AK45" s="392"/>
    </row>
    <row r="46" spans="1:37" hidden="1">
      <c r="A46" s="673"/>
      <c r="B46" s="928"/>
      <c r="C46" s="1025"/>
      <c r="D46" s="1025"/>
      <c r="E46" s="1025"/>
      <c r="F46" s="1025"/>
      <c r="G46" s="1027"/>
      <c r="H46" s="1027"/>
      <c r="I46" s="1027"/>
      <c r="J46" s="1028"/>
      <c r="K46" s="1027"/>
      <c r="L46" s="1026"/>
      <c r="M46" s="1026"/>
      <c r="N46" s="1026"/>
      <c r="O46" s="1026"/>
      <c r="P46" s="392" t="s">
        <v>314</v>
      </c>
      <c r="Q46" s="577">
        <v>106.77579</v>
      </c>
      <c r="R46" s="392">
        <v>-6.3796400000000002</v>
      </c>
      <c r="S46" s="392"/>
      <c r="T46" s="392"/>
      <c r="U46" s="393"/>
      <c r="V46" s="392"/>
      <c r="W46" s="393"/>
      <c r="X46" s="392"/>
      <c r="Y46" s="392"/>
      <c r="Z46" s="392"/>
      <c r="AA46" s="392"/>
      <c r="AB46" s="392"/>
      <c r="AC46" s="392"/>
      <c r="AD46" s="392"/>
      <c r="AE46" s="392"/>
      <c r="AF46" s="392"/>
      <c r="AG46" s="410"/>
      <c r="AH46" s="448"/>
      <c r="AI46" s="392"/>
      <c r="AJ46" s="392"/>
      <c r="AK46" s="392"/>
    </row>
    <row r="47" spans="1:37" hidden="1">
      <c r="A47" s="673"/>
      <c r="B47" s="928"/>
      <c r="C47" s="1025"/>
      <c r="D47" s="1025"/>
      <c r="E47" s="1025"/>
      <c r="F47" s="1025"/>
      <c r="G47" s="1027"/>
      <c r="H47" s="1027"/>
      <c r="I47" s="1027"/>
      <c r="J47" s="1028"/>
      <c r="K47" s="1027"/>
      <c r="L47" s="1026"/>
      <c r="M47" s="1026"/>
      <c r="N47" s="1026"/>
      <c r="O47" s="1026"/>
      <c r="P47" s="392" t="s">
        <v>179</v>
      </c>
      <c r="Q47" s="577">
        <v>106.77409</v>
      </c>
      <c r="R47" s="392">
        <v>-6.3787799999999999</v>
      </c>
      <c r="S47" s="392">
        <v>32</v>
      </c>
      <c r="T47" s="392">
        <v>30</v>
      </c>
      <c r="U47" s="393">
        <v>44279</v>
      </c>
      <c r="V47" s="392"/>
      <c r="W47" s="393">
        <v>44279</v>
      </c>
      <c r="X47" s="392">
        <v>167.48</v>
      </c>
      <c r="Y47" s="392" t="s">
        <v>1105</v>
      </c>
      <c r="Z47" s="392" t="s">
        <v>171</v>
      </c>
      <c r="AA47" s="392"/>
      <c r="AB47" s="392"/>
      <c r="AC47" s="392"/>
      <c r="AD47" s="392"/>
      <c r="AE47" s="392"/>
      <c r="AF47" s="392"/>
      <c r="AG47" s="410"/>
      <c r="AH47" s="448"/>
      <c r="AI47" s="392"/>
      <c r="AJ47" s="392"/>
      <c r="AK47" s="392"/>
    </row>
    <row r="48" spans="1:37" hidden="1">
      <c r="A48" s="673"/>
      <c r="B48" s="928"/>
      <c r="C48" s="1025"/>
      <c r="D48" s="1025"/>
      <c r="E48" s="1025"/>
      <c r="F48" s="1025"/>
      <c r="G48" s="1027"/>
      <c r="H48" s="1027"/>
      <c r="I48" s="1027"/>
      <c r="J48" s="1028"/>
      <c r="K48" s="1027"/>
      <c r="L48" s="1026"/>
      <c r="M48" s="1026"/>
      <c r="N48" s="1026"/>
      <c r="O48" s="1026"/>
      <c r="P48" s="392" t="s">
        <v>178</v>
      </c>
      <c r="Q48" s="577">
        <v>106.77538</v>
      </c>
      <c r="R48" s="392">
        <v>-6.37845</v>
      </c>
      <c r="S48" s="392">
        <v>32</v>
      </c>
      <c r="T48" s="392">
        <v>30</v>
      </c>
      <c r="U48" s="393">
        <v>44279</v>
      </c>
      <c r="V48" s="392"/>
      <c r="W48" s="393">
        <v>44279</v>
      </c>
      <c r="X48" s="392">
        <v>134.71</v>
      </c>
      <c r="Y48" s="392" t="s">
        <v>1105</v>
      </c>
      <c r="Z48" s="392" t="s">
        <v>171</v>
      </c>
      <c r="AA48" s="392"/>
      <c r="AB48" s="392"/>
      <c r="AC48" s="392"/>
      <c r="AD48" s="392"/>
      <c r="AE48" s="392"/>
      <c r="AF48" s="392"/>
      <c r="AG48" s="410"/>
      <c r="AH48" s="448"/>
      <c r="AI48" s="392"/>
      <c r="AJ48" s="392"/>
      <c r="AK48" s="392"/>
    </row>
    <row r="49" spans="1:37" hidden="1">
      <c r="A49" s="673"/>
      <c r="B49" s="928"/>
      <c r="C49" s="1025"/>
      <c r="D49" s="1025"/>
      <c r="E49" s="916"/>
      <c r="F49" s="1025"/>
      <c r="G49" s="1027"/>
      <c r="H49" s="1027"/>
      <c r="I49" s="1027"/>
      <c r="J49" s="1028"/>
      <c r="K49" s="1027"/>
      <c r="L49" s="1026"/>
      <c r="M49" s="1026"/>
      <c r="N49" s="1026"/>
      <c r="O49" s="1026"/>
      <c r="P49" s="916" t="s">
        <v>323</v>
      </c>
      <c r="Q49" s="919">
        <v>106.77546</v>
      </c>
      <c r="R49" s="916">
        <v>-6.3783500000000002</v>
      </c>
      <c r="S49" s="916">
        <v>32</v>
      </c>
      <c r="T49" s="916">
        <v>30</v>
      </c>
      <c r="U49" s="144">
        <v>44309</v>
      </c>
      <c r="V49" s="916"/>
      <c r="W49" s="144">
        <v>44309</v>
      </c>
      <c r="X49" s="916">
        <v>146.47999999999999</v>
      </c>
      <c r="Y49" s="916" t="s">
        <v>1105</v>
      </c>
      <c r="Z49" s="916" t="s">
        <v>171</v>
      </c>
      <c r="AA49" s="916"/>
      <c r="AB49" s="916"/>
      <c r="AC49" s="916"/>
      <c r="AD49" s="916"/>
      <c r="AE49" s="916"/>
      <c r="AF49" s="916"/>
      <c r="AG49" s="918"/>
      <c r="AH49" s="526"/>
      <c r="AI49" s="916"/>
      <c r="AJ49" s="916"/>
      <c r="AK49" s="916"/>
    </row>
    <row r="50" spans="1:37" hidden="1">
      <c r="A50" s="673"/>
      <c r="B50" s="928"/>
      <c r="C50" s="916"/>
      <c r="D50" s="916"/>
      <c r="E50" s="916"/>
      <c r="F50" s="916"/>
      <c r="G50" s="918"/>
      <c r="H50" s="918"/>
      <c r="I50" s="918"/>
      <c r="J50" s="919"/>
      <c r="K50" s="918"/>
      <c r="L50" s="917"/>
      <c r="M50" s="917"/>
      <c r="N50" s="917"/>
      <c r="O50" s="917"/>
      <c r="P50" s="916" t="s">
        <v>2015</v>
      </c>
      <c r="Q50" s="919">
        <v>106.77542</v>
      </c>
      <c r="R50" s="916">
        <v>-6.3784200000000002</v>
      </c>
      <c r="S50" s="916"/>
      <c r="T50" s="916"/>
      <c r="U50" s="144"/>
      <c r="V50" s="916"/>
      <c r="W50" s="144"/>
      <c r="X50" s="916"/>
      <c r="Y50" s="916"/>
      <c r="Z50" s="916"/>
      <c r="AA50" s="916"/>
      <c r="AB50" s="916"/>
      <c r="AC50" s="916"/>
      <c r="AD50" s="916"/>
      <c r="AE50" s="916"/>
      <c r="AF50" s="916"/>
      <c r="AG50" s="918"/>
      <c r="AH50" s="526"/>
      <c r="AI50" s="916"/>
      <c r="AJ50" s="916"/>
      <c r="AK50" s="916"/>
    </row>
    <row r="51" spans="1:37" hidden="1">
      <c r="A51" s="1025" t="s">
        <v>210</v>
      </c>
      <c r="B51" s="1031" t="s">
        <v>414</v>
      </c>
      <c r="C51" s="1025" t="s">
        <v>197</v>
      </c>
      <c r="D51" s="1025" t="s">
        <v>919</v>
      </c>
      <c r="E51" s="1025" t="s">
        <v>919</v>
      </c>
      <c r="F51" s="1025" t="s">
        <v>54</v>
      </c>
      <c r="G51" s="1027" t="s">
        <v>11</v>
      </c>
      <c r="H51" s="1027" t="s">
        <v>26</v>
      </c>
      <c r="I51" s="1027" t="s">
        <v>13</v>
      </c>
      <c r="J51" s="1027" t="s">
        <v>921</v>
      </c>
      <c r="K51" s="1027" t="s">
        <v>922</v>
      </c>
      <c r="L51" s="1026">
        <v>42</v>
      </c>
      <c r="M51" s="1026"/>
      <c r="N51" s="1026"/>
      <c r="O51" s="1026"/>
      <c r="P51" s="916" t="s">
        <v>314</v>
      </c>
      <c r="Q51" s="530">
        <v>106.65555999999999</v>
      </c>
      <c r="R51" s="530">
        <v>-6.3792499999999999</v>
      </c>
      <c r="S51" s="916">
        <v>52</v>
      </c>
      <c r="T51" s="916">
        <v>45</v>
      </c>
      <c r="U51" s="144">
        <v>44193</v>
      </c>
      <c r="V51" s="916"/>
      <c r="W51" s="144">
        <v>44193</v>
      </c>
      <c r="X51" s="916">
        <v>448</v>
      </c>
      <c r="Y51" s="916" t="s">
        <v>319</v>
      </c>
      <c r="Z51" s="916" t="s">
        <v>171</v>
      </c>
      <c r="AA51" s="916"/>
      <c r="AB51" s="916"/>
      <c r="AC51" s="916"/>
      <c r="AD51" s="916"/>
      <c r="AE51" s="916"/>
      <c r="AF51" s="916"/>
      <c r="AG51" s="916"/>
      <c r="AH51" s="916"/>
      <c r="AI51" s="916"/>
      <c r="AJ51" s="916"/>
      <c r="AK51" s="916"/>
    </row>
    <row r="52" spans="1:37" hidden="1">
      <c r="A52" s="1025"/>
      <c r="B52" s="1031"/>
      <c r="C52" s="1025"/>
      <c r="D52" s="1025"/>
      <c r="E52" s="1025"/>
      <c r="F52" s="1025"/>
      <c r="G52" s="1027"/>
      <c r="H52" s="1027"/>
      <c r="I52" s="1027"/>
      <c r="J52" s="1027"/>
      <c r="K52" s="1027"/>
      <c r="L52" s="1026"/>
      <c r="M52" s="1026"/>
      <c r="N52" s="1026"/>
      <c r="O52" s="1026"/>
      <c r="P52" s="916" t="s">
        <v>323</v>
      </c>
      <c r="Q52" s="530">
        <v>106.65586</v>
      </c>
      <c r="R52" s="530">
        <v>-6.3792</v>
      </c>
      <c r="S52" s="916">
        <v>52</v>
      </c>
      <c r="T52" s="916">
        <v>45</v>
      </c>
      <c r="U52" s="144">
        <v>44252</v>
      </c>
      <c r="V52" s="916"/>
      <c r="W52" s="916"/>
      <c r="X52" s="916">
        <v>417.5</v>
      </c>
      <c r="Y52" s="916" t="s">
        <v>319</v>
      </c>
      <c r="Z52" s="916" t="s">
        <v>171</v>
      </c>
      <c r="AA52" s="916"/>
      <c r="AB52" s="916"/>
      <c r="AC52" s="916"/>
      <c r="AD52" s="916"/>
      <c r="AE52" s="916"/>
      <c r="AF52" s="916"/>
      <c r="AG52" s="916"/>
      <c r="AH52" s="916"/>
      <c r="AI52" s="916"/>
      <c r="AJ52" s="916"/>
      <c r="AK52" s="916"/>
    </row>
    <row r="53" spans="1:37" hidden="1">
      <c r="A53" s="1033" t="s">
        <v>924</v>
      </c>
      <c r="B53" s="1031" t="s">
        <v>925</v>
      </c>
      <c r="C53" s="1025" t="s">
        <v>926</v>
      </c>
      <c r="D53" s="1025" t="s">
        <v>927</v>
      </c>
      <c r="E53" s="1025" t="s">
        <v>927</v>
      </c>
      <c r="F53" s="1025" t="s">
        <v>16</v>
      </c>
      <c r="G53" s="1025" t="s">
        <v>5</v>
      </c>
      <c r="H53" s="1025" t="s">
        <v>6</v>
      </c>
      <c r="I53" s="1025" t="s">
        <v>7</v>
      </c>
      <c r="J53" s="1025" t="s">
        <v>929</v>
      </c>
      <c r="K53" s="1025" t="s">
        <v>930</v>
      </c>
      <c r="L53" s="1026">
        <v>20</v>
      </c>
      <c r="M53" s="1026">
        <v>20</v>
      </c>
      <c r="N53" s="1026"/>
      <c r="O53" s="1026">
        <v>150</v>
      </c>
      <c r="P53" s="392" t="s">
        <v>316</v>
      </c>
      <c r="Q53" s="392">
        <v>106.71593</v>
      </c>
      <c r="R53" s="392">
        <v>-6.1020899999999996</v>
      </c>
      <c r="S53" s="392">
        <v>20</v>
      </c>
      <c r="T53" s="392">
        <v>20</v>
      </c>
      <c r="U53" s="393">
        <v>44180</v>
      </c>
      <c r="V53" s="392"/>
      <c r="W53" s="392"/>
      <c r="X53" s="392" t="s">
        <v>1089</v>
      </c>
      <c r="Y53" s="392" t="s">
        <v>1118</v>
      </c>
      <c r="Z53" s="392" t="s">
        <v>171</v>
      </c>
      <c r="AA53" s="392"/>
      <c r="AB53" s="392"/>
      <c r="AC53" s="392"/>
      <c r="AD53" s="392"/>
      <c r="AE53" s="392"/>
      <c r="AF53" s="392"/>
      <c r="AG53" s="392"/>
      <c r="AH53" s="392"/>
      <c r="AI53" s="392"/>
      <c r="AJ53" s="392"/>
      <c r="AK53" s="392"/>
    </row>
    <row r="54" spans="1:37" hidden="1">
      <c r="A54" s="1033"/>
      <c r="B54" s="1031"/>
      <c r="C54" s="1025"/>
      <c r="D54" s="1025"/>
      <c r="E54" s="1025"/>
      <c r="F54" s="1025"/>
      <c r="G54" s="1025"/>
      <c r="H54" s="1025"/>
      <c r="I54" s="1025"/>
      <c r="J54" s="1025"/>
      <c r="K54" s="1025"/>
      <c r="L54" s="1026"/>
      <c r="M54" s="1026"/>
      <c r="N54" s="1026"/>
      <c r="O54" s="1026"/>
      <c r="P54" s="392" t="s">
        <v>314</v>
      </c>
      <c r="Q54" s="392">
        <v>106.7162</v>
      </c>
      <c r="R54" s="392">
        <v>-6.1028700000000002</v>
      </c>
      <c r="S54" s="392">
        <v>20</v>
      </c>
      <c r="T54" s="392">
        <v>20</v>
      </c>
      <c r="U54" s="393">
        <v>44180</v>
      </c>
      <c r="V54" s="392"/>
      <c r="W54" s="392"/>
      <c r="X54" s="392" t="s">
        <v>1090</v>
      </c>
      <c r="Y54" s="392" t="s">
        <v>1118</v>
      </c>
      <c r="Z54" s="392" t="s">
        <v>171</v>
      </c>
      <c r="AA54" s="392"/>
      <c r="AB54" s="392"/>
      <c r="AC54" s="392"/>
      <c r="AD54" s="392"/>
      <c r="AE54" s="392"/>
      <c r="AF54" s="392"/>
      <c r="AG54" s="392"/>
      <c r="AH54" s="392"/>
      <c r="AI54" s="392"/>
      <c r="AJ54" s="392"/>
      <c r="AK54" s="392"/>
    </row>
    <row r="55" spans="1:37" hidden="1">
      <c r="A55" s="1033"/>
      <c r="B55" s="1031"/>
      <c r="C55" s="1025"/>
      <c r="D55" s="1025"/>
      <c r="E55" s="1025"/>
      <c r="F55" s="1025"/>
      <c r="G55" s="1025"/>
      <c r="H55" s="1025"/>
      <c r="I55" s="1025"/>
      <c r="J55" s="1025"/>
      <c r="K55" s="1025"/>
      <c r="L55" s="1026"/>
      <c r="M55" s="1026"/>
      <c r="N55" s="1026"/>
      <c r="O55" s="1026"/>
      <c r="P55" s="392" t="s">
        <v>179</v>
      </c>
      <c r="Q55" s="392">
        <v>106.71603</v>
      </c>
      <c r="R55" s="392">
        <v>-6.1071299999999997</v>
      </c>
      <c r="S55" s="392">
        <v>20</v>
      </c>
      <c r="T55" s="392">
        <v>20</v>
      </c>
      <c r="U55" s="393">
        <v>44180</v>
      </c>
      <c r="V55" s="392"/>
      <c r="W55" s="392"/>
      <c r="X55" s="392" t="s">
        <v>1091</v>
      </c>
      <c r="Y55" s="392" t="s">
        <v>1118</v>
      </c>
      <c r="Z55" s="392" t="s">
        <v>171</v>
      </c>
      <c r="AA55" s="392"/>
      <c r="AB55" s="392"/>
      <c r="AC55" s="392"/>
      <c r="AD55" s="392"/>
      <c r="AE55" s="392"/>
      <c r="AF55" s="392"/>
      <c r="AG55" s="392"/>
      <c r="AH55" s="392"/>
      <c r="AI55" s="392"/>
      <c r="AJ55" s="392"/>
      <c r="AK55" s="392"/>
    </row>
    <row r="56" spans="1:37" hidden="1">
      <c r="A56" s="674"/>
      <c r="B56" s="928"/>
      <c r="C56" s="1025"/>
      <c r="D56" s="1025"/>
      <c r="E56" s="1025"/>
      <c r="F56" s="1025"/>
      <c r="G56" s="1025"/>
      <c r="H56" s="1025"/>
      <c r="I56" s="1025"/>
      <c r="J56" s="1025"/>
      <c r="K56" s="1025"/>
      <c r="L56" s="1026"/>
      <c r="M56" s="1026"/>
      <c r="N56" s="1026"/>
      <c r="O56" s="1026"/>
      <c r="P56" s="916" t="s">
        <v>178</v>
      </c>
      <c r="Q56" s="916">
        <v>106.71572</v>
      </c>
      <c r="R56" s="916">
        <v>-6.10168</v>
      </c>
      <c r="S56" s="916">
        <v>20</v>
      </c>
      <c r="T56" s="916">
        <v>20</v>
      </c>
      <c r="U56" s="144"/>
      <c r="V56" s="916"/>
      <c r="W56" s="916"/>
      <c r="X56" s="916" t="s">
        <v>1944</v>
      </c>
      <c r="Y56" s="916" t="s">
        <v>1118</v>
      </c>
      <c r="Z56" s="916" t="s">
        <v>171</v>
      </c>
      <c r="AA56" s="916"/>
      <c r="AB56" s="916"/>
      <c r="AC56" s="916"/>
      <c r="AD56" s="916"/>
      <c r="AE56" s="916" t="s">
        <v>1030</v>
      </c>
      <c r="AF56" s="916"/>
      <c r="AG56" s="144">
        <v>44189</v>
      </c>
      <c r="AH56" s="916" t="s">
        <v>1098</v>
      </c>
      <c r="AI56" s="916">
        <v>0.3</v>
      </c>
      <c r="AJ56" s="916"/>
      <c r="AK56" s="144">
        <v>44194</v>
      </c>
    </row>
    <row r="57" spans="1:37" hidden="1">
      <c r="A57" s="674"/>
      <c r="B57" s="928"/>
      <c r="C57" s="1025"/>
      <c r="D57" s="1025"/>
      <c r="E57" s="1025"/>
      <c r="F57" s="1025"/>
      <c r="G57" s="1025"/>
      <c r="H57" s="1025"/>
      <c r="I57" s="1025"/>
      <c r="J57" s="1025"/>
      <c r="K57" s="1025"/>
      <c r="L57" s="1026"/>
      <c r="M57" s="1026"/>
      <c r="N57" s="1026"/>
      <c r="O57" s="1026"/>
      <c r="P57" s="916" t="s">
        <v>323</v>
      </c>
      <c r="Q57" s="916">
        <v>106.71559999999999</v>
      </c>
      <c r="R57" s="916">
        <v>-6.1014900000000001</v>
      </c>
      <c r="S57" s="916">
        <v>20</v>
      </c>
      <c r="T57" s="916">
        <v>20</v>
      </c>
      <c r="U57" s="144"/>
      <c r="V57" s="916"/>
      <c r="W57" s="916"/>
      <c r="X57" s="916" t="s">
        <v>1943</v>
      </c>
      <c r="Y57" s="916" t="s">
        <v>1118</v>
      </c>
      <c r="Z57" s="916" t="s">
        <v>171</v>
      </c>
      <c r="AA57" s="916"/>
      <c r="AB57" s="916"/>
      <c r="AC57" s="916"/>
      <c r="AD57" s="916"/>
      <c r="AE57" s="916" t="s">
        <v>2077</v>
      </c>
      <c r="AF57" s="916"/>
      <c r="AG57" s="144">
        <v>44189</v>
      </c>
      <c r="AH57" s="916" t="s">
        <v>1098</v>
      </c>
      <c r="AI57" s="916">
        <v>0.3</v>
      </c>
      <c r="AJ57" s="916"/>
      <c r="AK57" s="144">
        <v>44194</v>
      </c>
    </row>
    <row r="58" spans="1:37" hidden="1">
      <c r="A58" s="673" t="s">
        <v>932</v>
      </c>
      <c r="B58" s="928" t="s">
        <v>934</v>
      </c>
      <c r="C58" s="1025" t="s">
        <v>2160</v>
      </c>
      <c r="D58" s="1025" t="s">
        <v>935</v>
      </c>
      <c r="E58" s="1025" t="s">
        <v>935</v>
      </c>
      <c r="F58" s="1025" t="s">
        <v>54</v>
      </c>
      <c r="G58" s="1025" t="s">
        <v>11</v>
      </c>
      <c r="H58" s="1025" t="s">
        <v>659</v>
      </c>
      <c r="I58" s="1025" t="s">
        <v>13</v>
      </c>
      <c r="J58" s="1025">
        <v>-6.5403039999999999</v>
      </c>
      <c r="K58" s="1025">
        <v>106.814931</v>
      </c>
      <c r="L58" s="1026">
        <v>42</v>
      </c>
      <c r="M58" s="1026">
        <v>35</v>
      </c>
      <c r="N58" s="1026"/>
      <c r="O58" s="1026">
        <v>150</v>
      </c>
      <c r="P58" s="916" t="s">
        <v>316</v>
      </c>
      <c r="Q58" s="916">
        <v>106.81385</v>
      </c>
      <c r="R58" s="916">
        <v>-6.5376500000000002</v>
      </c>
      <c r="S58" s="916">
        <v>42</v>
      </c>
      <c r="T58" s="916">
        <v>35</v>
      </c>
      <c r="U58" s="144">
        <v>44201</v>
      </c>
      <c r="V58" s="916"/>
      <c r="W58" s="144"/>
      <c r="X58" s="916" t="s">
        <v>2102</v>
      </c>
      <c r="Y58" s="916" t="s">
        <v>319</v>
      </c>
      <c r="Z58" s="916" t="s">
        <v>171</v>
      </c>
      <c r="AA58" s="916"/>
      <c r="AB58" s="916"/>
      <c r="AC58" s="916"/>
      <c r="AD58" s="916"/>
      <c r="AE58" s="916"/>
      <c r="AF58" s="916"/>
      <c r="AG58" s="916"/>
      <c r="AH58" s="916"/>
      <c r="AI58" s="916"/>
      <c r="AJ58" s="916"/>
      <c r="AK58" s="916"/>
    </row>
    <row r="59" spans="1:37" hidden="1">
      <c r="A59" s="673"/>
      <c r="B59" s="928"/>
      <c r="C59" s="1025"/>
      <c r="D59" s="1025"/>
      <c r="E59" s="1025"/>
      <c r="F59" s="1025"/>
      <c r="G59" s="1025"/>
      <c r="H59" s="1025"/>
      <c r="I59" s="1025"/>
      <c r="J59" s="1025"/>
      <c r="K59" s="1025"/>
      <c r="L59" s="1026"/>
      <c r="M59" s="1026"/>
      <c r="N59" s="1026"/>
      <c r="O59" s="1026"/>
      <c r="P59" s="916" t="s">
        <v>314</v>
      </c>
      <c r="Q59" s="916">
        <v>106.81645</v>
      </c>
      <c r="R59" s="916">
        <v>-6.53986</v>
      </c>
      <c r="S59" s="916">
        <v>32</v>
      </c>
      <c r="T59" s="916">
        <v>30.5</v>
      </c>
      <c r="U59" s="144"/>
      <c r="V59" s="916"/>
      <c r="W59" s="144"/>
      <c r="X59" s="916"/>
      <c r="Y59" s="916"/>
      <c r="Z59" s="916"/>
      <c r="AA59" s="916"/>
      <c r="AB59" s="916"/>
      <c r="AC59" s="916"/>
      <c r="AD59" s="916"/>
      <c r="AE59" s="916"/>
      <c r="AF59" s="916"/>
      <c r="AG59" s="916"/>
      <c r="AH59" s="916"/>
      <c r="AI59" s="916"/>
      <c r="AJ59" s="916"/>
      <c r="AK59" s="916"/>
    </row>
    <row r="60" spans="1:37" hidden="1">
      <c r="A60" s="673"/>
      <c r="B60" s="928"/>
      <c r="C60" s="916"/>
      <c r="D60" s="916"/>
      <c r="E60" s="916"/>
      <c r="F60" s="916"/>
      <c r="G60" s="916"/>
      <c r="H60" s="916"/>
      <c r="I60" s="916"/>
      <c r="J60" s="916"/>
      <c r="K60" s="916"/>
      <c r="L60" s="917"/>
      <c r="M60" s="917"/>
      <c r="N60" s="917"/>
      <c r="O60" s="917"/>
      <c r="P60" s="916" t="s">
        <v>179</v>
      </c>
      <c r="Q60" s="916">
        <v>106.81429</v>
      </c>
      <c r="R60" s="916">
        <v>-6.5388000000000002</v>
      </c>
      <c r="S60" s="916">
        <v>42</v>
      </c>
      <c r="T60" s="916">
        <v>35</v>
      </c>
      <c r="U60" s="144">
        <v>44340</v>
      </c>
      <c r="V60" s="916"/>
      <c r="W60" s="144"/>
      <c r="X60" s="916">
        <v>181</v>
      </c>
      <c r="Y60" s="916" t="s">
        <v>319</v>
      </c>
      <c r="Z60" s="916" t="s">
        <v>171</v>
      </c>
      <c r="AA60" s="916"/>
      <c r="AB60" s="916"/>
      <c r="AC60" s="916"/>
      <c r="AD60" s="916"/>
      <c r="AE60" s="916"/>
      <c r="AF60" s="916"/>
      <c r="AG60" s="916"/>
      <c r="AH60" s="916"/>
      <c r="AI60" s="916"/>
      <c r="AJ60" s="916"/>
      <c r="AK60" s="916"/>
    </row>
    <row r="61" spans="1:37" hidden="1">
      <c r="A61" s="673"/>
      <c r="B61" s="928"/>
      <c r="C61" s="916"/>
      <c r="D61" s="916"/>
      <c r="E61" s="916"/>
      <c r="F61" s="916"/>
      <c r="G61" s="916"/>
      <c r="H61" s="916"/>
      <c r="I61" s="916"/>
      <c r="J61" s="916"/>
      <c r="K61" s="916"/>
      <c r="L61" s="917"/>
      <c r="M61" s="917"/>
      <c r="N61" s="917"/>
      <c r="O61" s="917"/>
      <c r="P61" s="916" t="s">
        <v>178</v>
      </c>
      <c r="Q61" s="916">
        <v>106.8163</v>
      </c>
      <c r="R61" s="916">
        <v>-6.5443800000000003</v>
      </c>
      <c r="S61" s="916">
        <v>52</v>
      </c>
      <c r="T61" s="916">
        <v>45</v>
      </c>
      <c r="U61" s="144">
        <v>44427</v>
      </c>
      <c r="V61" s="916"/>
      <c r="W61" s="144"/>
      <c r="X61" s="916">
        <v>477</v>
      </c>
      <c r="Y61" s="916" t="s">
        <v>319</v>
      </c>
      <c r="Z61" s="916"/>
      <c r="AA61" s="916"/>
      <c r="AB61" s="916"/>
      <c r="AC61" s="916"/>
      <c r="AD61" s="916"/>
      <c r="AE61" s="916"/>
      <c r="AF61" s="916"/>
      <c r="AG61" s="916"/>
      <c r="AH61" s="916"/>
      <c r="AI61" s="916"/>
      <c r="AJ61" s="916"/>
      <c r="AK61" s="916"/>
    </row>
    <row r="62" spans="1:37" hidden="1">
      <c r="A62" s="673" t="s">
        <v>933</v>
      </c>
      <c r="B62" s="928" t="s">
        <v>936</v>
      </c>
      <c r="C62" s="1025" t="s">
        <v>2159</v>
      </c>
      <c r="D62" s="1025" t="s">
        <v>937</v>
      </c>
      <c r="E62" s="1025" t="s">
        <v>937</v>
      </c>
      <c r="F62" s="1025" t="s">
        <v>54</v>
      </c>
      <c r="G62" s="1025" t="s">
        <v>11</v>
      </c>
      <c r="H62" s="1025" t="s">
        <v>26</v>
      </c>
      <c r="I62" s="1025" t="s">
        <v>13</v>
      </c>
      <c r="J62" s="1025" t="s">
        <v>940</v>
      </c>
      <c r="K62" s="1025" t="s">
        <v>941</v>
      </c>
      <c r="L62" s="1026">
        <v>52</v>
      </c>
      <c r="M62" s="1026">
        <v>50</v>
      </c>
      <c r="N62" s="1026"/>
      <c r="O62" s="1026">
        <v>150</v>
      </c>
      <c r="P62" s="445" t="s">
        <v>316</v>
      </c>
      <c r="Q62" s="445">
        <v>106.66275</v>
      </c>
      <c r="R62" s="445">
        <v>-6.5860200000000004</v>
      </c>
      <c r="S62" s="445">
        <v>52</v>
      </c>
      <c r="T62" s="445">
        <v>50</v>
      </c>
      <c r="U62" s="491">
        <v>44194</v>
      </c>
      <c r="V62" s="445"/>
      <c r="W62" s="491">
        <v>44194</v>
      </c>
      <c r="X62" s="445" t="s">
        <v>2078</v>
      </c>
      <c r="Y62" s="445" t="s">
        <v>319</v>
      </c>
      <c r="Z62" s="445" t="s">
        <v>171</v>
      </c>
      <c r="AA62" s="916"/>
      <c r="AB62" s="916"/>
      <c r="AC62" s="916"/>
      <c r="AD62" s="916"/>
      <c r="AE62" s="916"/>
      <c r="AF62" s="916"/>
      <c r="AG62" s="916"/>
      <c r="AH62" s="916"/>
      <c r="AI62" s="916"/>
      <c r="AJ62" s="916"/>
      <c r="AK62" s="916"/>
    </row>
    <row r="63" spans="1:37" hidden="1">
      <c r="A63" s="673"/>
      <c r="B63" s="928"/>
      <c r="C63" s="1025"/>
      <c r="D63" s="1025"/>
      <c r="E63" s="1025"/>
      <c r="F63" s="1025"/>
      <c r="G63" s="1025"/>
      <c r="H63" s="1025"/>
      <c r="I63" s="1025"/>
      <c r="J63" s="1025"/>
      <c r="K63" s="1025"/>
      <c r="L63" s="1026"/>
      <c r="M63" s="1026"/>
      <c r="N63" s="1026"/>
      <c r="O63" s="1026"/>
      <c r="P63" s="916" t="s">
        <v>314</v>
      </c>
      <c r="Q63" s="916">
        <v>106.66284</v>
      </c>
      <c r="R63" s="916">
        <v>-6.5859699999999997</v>
      </c>
      <c r="S63" s="916">
        <v>62</v>
      </c>
      <c r="T63" s="916">
        <v>50</v>
      </c>
      <c r="U63" s="144">
        <v>44229</v>
      </c>
      <c r="V63" s="916"/>
      <c r="W63" s="144">
        <v>44229</v>
      </c>
      <c r="X63" s="916" t="s">
        <v>2178</v>
      </c>
      <c r="Y63" s="916" t="s">
        <v>319</v>
      </c>
      <c r="Z63" s="916" t="s">
        <v>171</v>
      </c>
      <c r="AA63" s="916"/>
      <c r="AB63" s="916"/>
      <c r="AC63" s="916"/>
      <c r="AD63" s="916"/>
      <c r="AE63" s="916"/>
      <c r="AF63" s="916"/>
      <c r="AG63" s="916"/>
      <c r="AH63" s="916"/>
      <c r="AI63" s="916"/>
      <c r="AJ63" s="916"/>
      <c r="AK63" s="916"/>
    </row>
    <row r="64" spans="1:37" hidden="1">
      <c r="A64" s="673"/>
      <c r="B64" s="928"/>
      <c r="C64" s="1025" t="s">
        <v>142</v>
      </c>
      <c r="D64" s="1025" t="s">
        <v>56</v>
      </c>
      <c r="E64" s="1025" t="s">
        <v>56</v>
      </c>
      <c r="F64" s="1025" t="s">
        <v>54</v>
      </c>
      <c r="G64" s="1025" t="s">
        <v>5</v>
      </c>
      <c r="H64" s="1025" t="s">
        <v>21</v>
      </c>
      <c r="I64" s="1025" t="s">
        <v>20</v>
      </c>
      <c r="J64" s="1025">
        <v>-6.1815499999999997</v>
      </c>
      <c r="K64" s="1025">
        <v>106.67238999999999</v>
      </c>
      <c r="L64" s="1025">
        <v>32</v>
      </c>
      <c r="M64" s="1025"/>
      <c r="N64" s="1025"/>
      <c r="O64" s="1025"/>
      <c r="P64" s="916" t="s">
        <v>316</v>
      </c>
      <c r="Q64" s="916">
        <v>106.67230000000001</v>
      </c>
      <c r="R64" s="916">
        <v>-6.1821700000000002</v>
      </c>
      <c r="S64" s="916">
        <v>29</v>
      </c>
      <c r="T64" s="916">
        <v>25</v>
      </c>
      <c r="U64" s="916"/>
      <c r="V64" s="916"/>
      <c r="W64" s="144"/>
      <c r="X64" s="916"/>
      <c r="Y64" s="916"/>
      <c r="Z64" s="916"/>
      <c r="AA64" s="916"/>
      <c r="AB64" s="916"/>
      <c r="AC64" s="916"/>
      <c r="AD64" s="916"/>
      <c r="AE64" s="916"/>
      <c r="AF64" s="916"/>
      <c r="AG64" s="916"/>
      <c r="AH64" s="916"/>
      <c r="AI64" s="916"/>
      <c r="AJ64" s="916"/>
      <c r="AK64" s="916"/>
    </row>
    <row r="65" spans="1:37" hidden="1">
      <c r="A65" s="673"/>
      <c r="B65" s="928"/>
      <c r="C65" s="1025"/>
      <c r="D65" s="1025"/>
      <c r="E65" s="1025"/>
      <c r="F65" s="1025"/>
      <c r="G65" s="1025"/>
      <c r="H65" s="1025"/>
      <c r="I65" s="1025"/>
      <c r="J65" s="1025"/>
      <c r="K65" s="1025"/>
      <c r="L65" s="1025"/>
      <c r="M65" s="1025"/>
      <c r="N65" s="1025"/>
      <c r="O65" s="1025"/>
      <c r="P65" s="916" t="s">
        <v>314</v>
      </c>
      <c r="Q65" s="916">
        <v>106.67227</v>
      </c>
      <c r="R65" s="919">
        <v>-6.1821799999999998</v>
      </c>
      <c r="S65" s="916">
        <v>29</v>
      </c>
      <c r="T65" s="916">
        <v>28</v>
      </c>
      <c r="U65" s="144">
        <v>44252</v>
      </c>
      <c r="V65" s="916"/>
      <c r="W65" s="916"/>
      <c r="X65" s="916">
        <v>55.27</v>
      </c>
      <c r="Y65" s="916"/>
      <c r="Z65" s="916"/>
      <c r="AA65" s="916"/>
      <c r="AB65" s="916"/>
      <c r="AC65" s="916"/>
      <c r="AD65" s="916"/>
      <c r="AE65" s="916"/>
      <c r="AF65" s="916"/>
      <c r="AG65" s="916"/>
      <c r="AH65" s="916"/>
      <c r="AI65" s="916"/>
      <c r="AJ65" s="916"/>
      <c r="AK65" s="916"/>
    </row>
    <row r="66" spans="1:37" hidden="1">
      <c r="A66" s="673"/>
      <c r="B66" s="928"/>
      <c r="C66" s="1029" t="s">
        <v>2080</v>
      </c>
      <c r="D66" s="1025" t="s">
        <v>2084</v>
      </c>
      <c r="E66" s="1025" t="s">
        <v>2084</v>
      </c>
      <c r="F66" s="1025" t="s">
        <v>54</v>
      </c>
      <c r="G66" s="1025" t="s">
        <v>11</v>
      </c>
      <c r="H66" s="1025" t="s">
        <v>26</v>
      </c>
      <c r="I66" s="1025" t="s">
        <v>13</v>
      </c>
      <c r="J66" s="1030">
        <v>-6.5819799999999997</v>
      </c>
      <c r="K66" s="1030">
        <v>106.629476</v>
      </c>
      <c r="L66" s="1025">
        <v>52</v>
      </c>
      <c r="M66" s="1025">
        <v>52</v>
      </c>
      <c r="N66" s="1025"/>
      <c r="O66" s="1025">
        <v>250</v>
      </c>
      <c r="P66" s="390" t="s">
        <v>316</v>
      </c>
      <c r="Q66" s="390">
        <v>106.628</v>
      </c>
      <c r="R66" s="390">
        <v>-6.5815099999999997</v>
      </c>
      <c r="S66" s="390">
        <v>52</v>
      </c>
      <c r="T66" s="390">
        <v>50.5</v>
      </c>
      <c r="U66" s="485">
        <v>44210</v>
      </c>
      <c r="V66" s="390"/>
      <c r="W66" s="390"/>
      <c r="X66" s="390" t="s">
        <v>2122</v>
      </c>
      <c r="Y66" s="390" t="s">
        <v>319</v>
      </c>
      <c r="Z66" s="390" t="s">
        <v>171</v>
      </c>
      <c r="AA66" s="392"/>
      <c r="AB66" s="392"/>
      <c r="AC66" s="392"/>
      <c r="AD66" s="392"/>
      <c r="AE66" s="392"/>
      <c r="AF66" s="392"/>
      <c r="AG66" s="392"/>
      <c r="AH66" s="392"/>
      <c r="AI66" s="392"/>
      <c r="AJ66" s="392"/>
      <c r="AK66" s="392"/>
    </row>
    <row r="67" spans="1:37" hidden="1">
      <c r="A67" s="673"/>
      <c r="B67" s="928"/>
      <c r="C67" s="1029"/>
      <c r="D67" s="1025"/>
      <c r="E67" s="1025"/>
      <c r="F67" s="1025"/>
      <c r="G67" s="1025"/>
      <c r="H67" s="1025"/>
      <c r="I67" s="1025"/>
      <c r="J67" s="1030"/>
      <c r="K67" s="1030"/>
      <c r="L67" s="1025"/>
      <c r="M67" s="1025"/>
      <c r="N67" s="1025"/>
      <c r="O67" s="1025"/>
      <c r="P67" s="390" t="s">
        <v>314</v>
      </c>
      <c r="Q67" s="390">
        <v>106.63129000000001</v>
      </c>
      <c r="R67" s="390">
        <v>-6.5811200000000003</v>
      </c>
      <c r="S67" s="390">
        <v>52</v>
      </c>
      <c r="T67" s="390">
        <v>50.5</v>
      </c>
      <c r="U67" s="485">
        <v>44210</v>
      </c>
      <c r="V67" s="390"/>
      <c r="W67" s="390"/>
      <c r="X67" s="390" t="s">
        <v>2123</v>
      </c>
      <c r="Y67" s="390" t="s">
        <v>319</v>
      </c>
      <c r="Z67" s="390" t="s">
        <v>171</v>
      </c>
      <c r="AA67" s="392"/>
      <c r="AB67" s="392"/>
      <c r="AC67" s="392"/>
      <c r="AD67" s="392"/>
      <c r="AE67" s="392"/>
      <c r="AF67" s="392"/>
      <c r="AG67" s="392"/>
      <c r="AH67" s="392"/>
      <c r="AI67" s="392"/>
      <c r="AJ67" s="392"/>
      <c r="AK67" s="392"/>
    </row>
    <row r="68" spans="1:37" hidden="1">
      <c r="A68" s="673"/>
      <c r="B68" s="928"/>
      <c r="C68" s="1029"/>
      <c r="D68" s="1025"/>
      <c r="E68" s="1025"/>
      <c r="F68" s="1025"/>
      <c r="G68" s="1025"/>
      <c r="H68" s="1025"/>
      <c r="I68" s="1025"/>
      <c r="J68" s="1030"/>
      <c r="K68" s="1030"/>
      <c r="L68" s="1025"/>
      <c r="M68" s="1025"/>
      <c r="N68" s="1025"/>
      <c r="O68" s="1025"/>
      <c r="P68" s="916" t="s">
        <v>179</v>
      </c>
      <c r="Q68" s="916">
        <v>106.62737</v>
      </c>
      <c r="R68" s="916">
        <v>-6.58291</v>
      </c>
      <c r="S68" s="916">
        <v>52</v>
      </c>
      <c r="T68" s="916">
        <v>50.5</v>
      </c>
      <c r="U68" s="144">
        <v>44246</v>
      </c>
      <c r="V68" s="916"/>
      <c r="W68" s="916"/>
      <c r="X68" s="916" t="s">
        <v>2228</v>
      </c>
      <c r="Y68" s="916" t="s">
        <v>319</v>
      </c>
      <c r="Z68" s="916" t="s">
        <v>171</v>
      </c>
      <c r="AA68" s="916"/>
      <c r="AB68" s="916" t="s">
        <v>2243</v>
      </c>
      <c r="AC68" s="916"/>
      <c r="AD68" s="916"/>
      <c r="AE68" s="916"/>
      <c r="AF68" s="916"/>
      <c r="AG68" s="916"/>
      <c r="AH68" s="916"/>
      <c r="AI68" s="916"/>
      <c r="AJ68" s="916"/>
      <c r="AK68" s="916"/>
    </row>
    <row r="69" spans="1:37" hidden="1">
      <c r="A69" s="673"/>
      <c r="B69" s="928"/>
      <c r="C69" s="1029"/>
      <c r="D69" s="1025"/>
      <c r="E69" s="1025"/>
      <c r="F69" s="1025"/>
      <c r="G69" s="1025"/>
      <c r="H69" s="1025"/>
      <c r="I69" s="1025"/>
      <c r="J69" s="1030"/>
      <c r="K69" s="1030"/>
      <c r="L69" s="1025"/>
      <c r="M69" s="1025"/>
      <c r="N69" s="1025"/>
      <c r="O69" s="1025"/>
      <c r="P69" s="916" t="s">
        <v>178</v>
      </c>
      <c r="Q69" s="916">
        <v>106.6276</v>
      </c>
      <c r="R69" s="916">
        <v>-6.5824100000000003</v>
      </c>
      <c r="S69" s="916">
        <v>52</v>
      </c>
      <c r="T69" s="916">
        <v>50.5</v>
      </c>
      <c r="U69" s="144"/>
      <c r="V69" s="916"/>
      <c r="W69" s="916"/>
      <c r="X69" s="916">
        <v>212.67</v>
      </c>
      <c r="Y69" s="916"/>
      <c r="Z69" s="916"/>
      <c r="AA69" s="916"/>
      <c r="AB69" s="916"/>
      <c r="AC69" s="916"/>
      <c r="AD69" s="916"/>
      <c r="AE69" s="916"/>
      <c r="AF69" s="916"/>
      <c r="AG69" s="916"/>
      <c r="AH69" s="916"/>
      <c r="AI69" s="916"/>
      <c r="AJ69" s="916"/>
      <c r="AK69" s="916"/>
    </row>
    <row r="70" spans="1:37" hidden="1">
      <c r="A70" s="673"/>
      <c r="B70" s="928"/>
      <c r="C70" s="1029"/>
      <c r="D70" s="1025"/>
      <c r="E70" s="1025"/>
      <c r="F70" s="1025"/>
      <c r="G70" s="1025"/>
      <c r="H70" s="1025"/>
      <c r="I70" s="1025"/>
      <c r="J70" s="1030"/>
      <c r="K70" s="1030"/>
      <c r="L70" s="1025"/>
      <c r="M70" s="1025"/>
      <c r="N70" s="1025"/>
      <c r="O70" s="1025"/>
      <c r="P70" s="916" t="s">
        <v>323</v>
      </c>
      <c r="Q70" s="916">
        <v>106.6281</v>
      </c>
      <c r="R70" s="916">
        <v>-6.5831299999999997</v>
      </c>
      <c r="S70" s="916">
        <v>52</v>
      </c>
      <c r="T70" s="916">
        <v>50.5</v>
      </c>
      <c r="U70" s="144"/>
      <c r="V70" s="916"/>
      <c r="W70" s="916"/>
      <c r="X70" s="916"/>
      <c r="Y70" s="916"/>
      <c r="Z70" s="916"/>
      <c r="AA70" s="916"/>
      <c r="AB70" s="916"/>
      <c r="AC70" s="916"/>
      <c r="AD70" s="916"/>
      <c r="AE70" s="916"/>
      <c r="AF70" s="916"/>
      <c r="AG70" s="916"/>
      <c r="AH70" s="916"/>
      <c r="AI70" s="916"/>
      <c r="AJ70" s="916"/>
      <c r="AK70" s="916"/>
    </row>
    <row r="71" spans="1:37" hidden="1">
      <c r="A71" s="673"/>
      <c r="B71" s="928"/>
      <c r="C71" s="920"/>
      <c r="D71" s="916"/>
      <c r="E71" s="916"/>
      <c r="F71" s="916"/>
      <c r="G71" s="916"/>
      <c r="H71" s="916"/>
      <c r="I71" s="916"/>
      <c r="J71" s="921"/>
      <c r="K71" s="921"/>
      <c r="L71" s="916"/>
      <c r="M71" s="916"/>
      <c r="N71" s="916"/>
      <c r="O71" s="916"/>
      <c r="P71" s="916" t="s">
        <v>2015</v>
      </c>
      <c r="Q71" s="916">
        <v>106.63543</v>
      </c>
      <c r="R71" s="916">
        <v>-6.5833399999999997</v>
      </c>
      <c r="S71" s="916">
        <v>62</v>
      </c>
      <c r="T71" s="916" t="s">
        <v>2458</v>
      </c>
      <c r="U71" s="144">
        <v>44372</v>
      </c>
      <c r="V71" s="916"/>
      <c r="W71" s="916"/>
      <c r="X71" s="916">
        <v>674.85</v>
      </c>
      <c r="Y71" s="916" t="s">
        <v>319</v>
      </c>
      <c r="Z71" s="916" t="s">
        <v>171</v>
      </c>
      <c r="AA71" s="916"/>
      <c r="AB71" s="916"/>
      <c r="AC71" s="916"/>
      <c r="AD71" s="916"/>
      <c r="AE71" s="916"/>
      <c r="AF71" s="916"/>
      <c r="AG71" s="916"/>
      <c r="AH71" s="916"/>
      <c r="AI71" s="916"/>
      <c r="AJ71" s="916"/>
      <c r="AK71" s="916"/>
    </row>
    <row r="72" spans="1:37" hidden="1">
      <c r="A72" s="673"/>
      <c r="B72" s="928"/>
      <c r="C72" s="920"/>
      <c r="D72" s="916"/>
      <c r="E72" s="916"/>
      <c r="F72" s="916"/>
      <c r="G72" s="916"/>
      <c r="H72" s="916"/>
      <c r="I72" s="916"/>
      <c r="J72" s="921"/>
      <c r="K72" s="921"/>
      <c r="L72" s="916"/>
      <c r="M72" s="916"/>
      <c r="N72" s="916"/>
      <c r="O72" s="916"/>
      <c r="P72" s="916" t="s">
        <v>1451</v>
      </c>
      <c r="Q72" s="916">
        <v>106.63439</v>
      </c>
      <c r="R72" s="916">
        <v>-6.5839800000000004</v>
      </c>
      <c r="S72" s="916"/>
      <c r="T72" s="916"/>
      <c r="U72" s="144"/>
      <c r="V72" s="916"/>
      <c r="W72" s="916"/>
      <c r="X72" s="916"/>
      <c r="Y72" s="916"/>
      <c r="Z72" s="916"/>
      <c r="AA72" s="916"/>
      <c r="AB72" s="916"/>
      <c r="AC72" s="916"/>
      <c r="AD72" s="916"/>
      <c r="AE72" s="916"/>
      <c r="AF72" s="916"/>
      <c r="AG72" s="916"/>
      <c r="AH72" s="916"/>
      <c r="AI72" s="916"/>
      <c r="AJ72" s="916"/>
      <c r="AK72" s="916"/>
    </row>
    <row r="73" spans="1:37" hidden="1">
      <c r="A73" s="673"/>
      <c r="B73" s="928"/>
      <c r="C73" s="920" t="s">
        <v>2081</v>
      </c>
      <c r="D73" s="916" t="s">
        <v>2085</v>
      </c>
      <c r="E73" s="916" t="s">
        <v>2085</v>
      </c>
      <c r="F73" s="916" t="s">
        <v>54</v>
      </c>
      <c r="G73" s="916" t="s">
        <v>11</v>
      </c>
      <c r="H73" s="916" t="s">
        <v>26</v>
      </c>
      <c r="I73" s="916" t="s">
        <v>13</v>
      </c>
      <c r="J73" s="921">
        <v>-6.6588070000000004</v>
      </c>
      <c r="K73" s="921">
        <v>106.714144</v>
      </c>
      <c r="L73" s="916">
        <v>52</v>
      </c>
      <c r="M73" s="916">
        <v>50</v>
      </c>
      <c r="N73" s="916"/>
      <c r="O73" s="916">
        <v>150</v>
      </c>
      <c r="P73" s="916" t="s">
        <v>316</v>
      </c>
      <c r="Q73" s="916">
        <v>106.71405</v>
      </c>
      <c r="R73" s="916">
        <v>-6.6587100000000001</v>
      </c>
      <c r="S73" s="916">
        <v>52</v>
      </c>
      <c r="T73" s="916">
        <v>50</v>
      </c>
      <c r="U73" s="144">
        <v>44210</v>
      </c>
      <c r="V73" s="916"/>
      <c r="W73" s="916"/>
      <c r="X73" s="916" t="s">
        <v>2121</v>
      </c>
      <c r="Y73" s="916" t="s">
        <v>319</v>
      </c>
      <c r="Z73" s="916" t="s">
        <v>171</v>
      </c>
      <c r="AA73" s="916"/>
      <c r="AB73" s="916"/>
      <c r="AC73" s="916"/>
      <c r="AD73" s="916"/>
      <c r="AE73" s="916" t="s">
        <v>1028</v>
      </c>
      <c r="AF73" s="916" t="s">
        <v>2132</v>
      </c>
      <c r="AG73" s="144">
        <v>44214</v>
      </c>
      <c r="AH73" s="916" t="s">
        <v>981</v>
      </c>
      <c r="AI73" s="916">
        <v>0.3</v>
      </c>
      <c r="AJ73" s="916"/>
      <c r="AK73" s="144">
        <v>44215</v>
      </c>
    </row>
    <row r="74" spans="1:37" hidden="1">
      <c r="A74" s="673"/>
      <c r="B74" s="928"/>
      <c r="C74" s="1029" t="s">
        <v>2082</v>
      </c>
      <c r="D74" s="1025" t="s">
        <v>2086</v>
      </c>
      <c r="E74" s="1025" t="s">
        <v>2086</v>
      </c>
      <c r="F74" s="1025" t="s">
        <v>54</v>
      </c>
      <c r="G74" s="1025" t="s">
        <v>11</v>
      </c>
      <c r="H74" s="1025" t="s">
        <v>12</v>
      </c>
      <c r="I74" s="1025" t="s">
        <v>13</v>
      </c>
      <c r="J74" s="1030">
        <v>-6.9987149999999998</v>
      </c>
      <c r="K74" s="1030">
        <v>106.71767699999999</v>
      </c>
      <c r="L74" s="1025">
        <v>62</v>
      </c>
      <c r="M74" s="1025">
        <v>62</v>
      </c>
      <c r="N74" s="1025"/>
      <c r="O74" s="1025">
        <v>250</v>
      </c>
      <c r="P74" s="445" t="s">
        <v>316</v>
      </c>
      <c r="Q74" s="445">
        <v>106.71762</v>
      </c>
      <c r="R74" s="445">
        <v>-6.9973700000000001</v>
      </c>
      <c r="S74" s="445">
        <v>62</v>
      </c>
      <c r="T74" s="445">
        <v>60.5</v>
      </c>
      <c r="U74" s="491">
        <v>44210</v>
      </c>
      <c r="V74" s="445"/>
      <c r="W74" s="445"/>
      <c r="X74" s="445" t="s">
        <v>2126</v>
      </c>
      <c r="Y74" s="445" t="s">
        <v>319</v>
      </c>
      <c r="Z74" s="445" t="s">
        <v>171</v>
      </c>
      <c r="AA74" s="445"/>
      <c r="AB74" s="445"/>
      <c r="AC74" s="445"/>
      <c r="AD74" s="445"/>
      <c r="AE74" s="445" t="s">
        <v>1028</v>
      </c>
      <c r="AF74" s="445" t="s">
        <v>2167</v>
      </c>
      <c r="AG74" s="491">
        <v>44221</v>
      </c>
      <c r="AH74" s="445" t="s">
        <v>1098</v>
      </c>
      <c r="AI74" s="445">
        <v>0.3</v>
      </c>
      <c r="AJ74" s="445"/>
      <c r="AK74" s="491">
        <v>44221</v>
      </c>
    </row>
    <row r="75" spans="1:37" hidden="1">
      <c r="A75" s="673"/>
      <c r="B75" s="928"/>
      <c r="C75" s="1029"/>
      <c r="D75" s="1025"/>
      <c r="E75" s="1025"/>
      <c r="F75" s="1025"/>
      <c r="G75" s="1025"/>
      <c r="H75" s="1025"/>
      <c r="I75" s="1025"/>
      <c r="J75" s="1030"/>
      <c r="K75" s="1030"/>
      <c r="L75" s="1025"/>
      <c r="M75" s="1025"/>
      <c r="N75" s="1025"/>
      <c r="O75" s="1025"/>
      <c r="P75" s="916" t="s">
        <v>314</v>
      </c>
      <c r="Q75" s="916">
        <v>106.71787999999999</v>
      </c>
      <c r="R75" s="916">
        <v>-7.0009899999999998</v>
      </c>
      <c r="S75" s="916">
        <v>62</v>
      </c>
      <c r="T75" s="916">
        <v>60.5</v>
      </c>
      <c r="U75" s="144">
        <v>44210</v>
      </c>
      <c r="V75" s="916"/>
      <c r="W75" s="916"/>
      <c r="X75" s="916" t="s">
        <v>2127</v>
      </c>
      <c r="Y75" s="916" t="s">
        <v>319</v>
      </c>
      <c r="Z75" s="916" t="s">
        <v>171</v>
      </c>
      <c r="AA75" s="916"/>
      <c r="AB75" s="916"/>
      <c r="AC75" s="916"/>
      <c r="AD75" s="916"/>
      <c r="AE75" s="916" t="s">
        <v>1028</v>
      </c>
      <c r="AF75" s="916" t="s">
        <v>2168</v>
      </c>
      <c r="AG75" s="144">
        <v>44221</v>
      </c>
      <c r="AH75" s="916" t="s">
        <v>1098</v>
      </c>
      <c r="AI75" s="916">
        <v>0.3</v>
      </c>
      <c r="AJ75" s="916"/>
      <c r="AK75" s="144">
        <v>44221</v>
      </c>
    </row>
    <row r="76" spans="1:37" hidden="1">
      <c r="A76" s="673"/>
      <c r="B76" s="928"/>
      <c r="C76" s="1029"/>
      <c r="D76" s="1025"/>
      <c r="E76" s="1025"/>
      <c r="F76" s="1025"/>
      <c r="G76" s="1025"/>
      <c r="H76" s="1025"/>
      <c r="I76" s="1025"/>
      <c r="J76" s="1030"/>
      <c r="K76" s="1030"/>
      <c r="L76" s="1025"/>
      <c r="M76" s="1025"/>
      <c r="N76" s="1025"/>
      <c r="O76" s="1025"/>
      <c r="P76" s="916" t="s">
        <v>179</v>
      </c>
      <c r="Q76" s="916">
        <v>106.718</v>
      </c>
      <c r="R76" s="916">
        <v>-7.00075</v>
      </c>
      <c r="S76" s="916"/>
      <c r="T76" s="916"/>
      <c r="U76" s="144">
        <v>44252</v>
      </c>
      <c r="V76" s="916"/>
      <c r="W76" s="916"/>
      <c r="X76" s="916">
        <v>229.07</v>
      </c>
      <c r="Y76" s="916"/>
      <c r="Z76" s="916"/>
      <c r="AA76" s="916"/>
      <c r="AB76" s="916"/>
      <c r="AC76" s="916"/>
      <c r="AD76" s="916"/>
      <c r="AE76" s="916"/>
      <c r="AF76" s="916"/>
      <c r="AG76" s="144"/>
      <c r="AH76" s="916"/>
      <c r="AI76" s="916"/>
      <c r="AJ76" s="916"/>
      <c r="AK76" s="144"/>
    </row>
    <row r="77" spans="1:37" hidden="1">
      <c r="A77" s="673"/>
      <c r="B77" s="928"/>
      <c r="C77" s="1029" t="s">
        <v>2083</v>
      </c>
      <c r="D77" s="1025" t="s">
        <v>2087</v>
      </c>
      <c r="E77" s="1025" t="s">
        <v>2087</v>
      </c>
      <c r="F77" s="1025" t="s">
        <v>54</v>
      </c>
      <c r="G77" s="1025" t="s">
        <v>11</v>
      </c>
      <c r="H77" s="1025" t="s">
        <v>26</v>
      </c>
      <c r="I77" s="1025" t="s">
        <v>13</v>
      </c>
      <c r="J77" s="1030">
        <v>-6.3789730000000002</v>
      </c>
      <c r="K77" s="1030">
        <v>106.55484300000001</v>
      </c>
      <c r="L77" s="1025">
        <v>62</v>
      </c>
      <c r="M77" s="1025">
        <v>60</v>
      </c>
      <c r="N77" s="1025"/>
      <c r="O77" s="1025">
        <v>250</v>
      </c>
      <c r="P77" s="445" t="s">
        <v>316</v>
      </c>
      <c r="Q77" s="445">
        <v>106.55535</v>
      </c>
      <c r="R77" s="445">
        <v>-6.3770800000000003</v>
      </c>
      <c r="S77" s="445">
        <v>62</v>
      </c>
      <c r="T77" s="445">
        <v>60</v>
      </c>
      <c r="U77" s="491">
        <v>44210</v>
      </c>
      <c r="V77" s="445"/>
      <c r="W77" s="445"/>
      <c r="X77" s="445" t="s">
        <v>2124</v>
      </c>
      <c r="Y77" s="445" t="s">
        <v>319</v>
      </c>
      <c r="Z77" s="445" t="s">
        <v>171</v>
      </c>
      <c r="AA77" s="445"/>
      <c r="AB77" s="445"/>
      <c r="AC77" s="445"/>
      <c r="AD77" s="445"/>
      <c r="AE77" s="445"/>
      <c r="AF77" s="445"/>
      <c r="AG77" s="445"/>
      <c r="AH77" s="445"/>
      <c r="AI77" s="445"/>
      <c r="AJ77" s="445"/>
      <c r="AK77" s="445"/>
    </row>
    <row r="78" spans="1:37" hidden="1">
      <c r="A78" s="673"/>
      <c r="B78" s="928"/>
      <c r="C78" s="1029"/>
      <c r="D78" s="1025"/>
      <c r="E78" s="1025"/>
      <c r="F78" s="1025"/>
      <c r="G78" s="1025"/>
      <c r="H78" s="1025"/>
      <c r="I78" s="1025"/>
      <c r="J78" s="1030"/>
      <c r="K78" s="1030"/>
      <c r="L78" s="1025"/>
      <c r="M78" s="1025"/>
      <c r="N78" s="1025"/>
      <c r="O78" s="1025"/>
      <c r="P78" s="445" t="s">
        <v>314</v>
      </c>
      <c r="Q78" s="445">
        <v>106.55446999999999</v>
      </c>
      <c r="R78" s="445">
        <v>-6.3782800000000002</v>
      </c>
      <c r="S78" s="445">
        <v>62</v>
      </c>
      <c r="T78" s="445">
        <v>60</v>
      </c>
      <c r="U78" s="491">
        <v>44210</v>
      </c>
      <c r="V78" s="445"/>
      <c r="W78" s="445"/>
      <c r="X78" s="445" t="s">
        <v>2125</v>
      </c>
      <c r="Y78" s="445" t="s">
        <v>319</v>
      </c>
      <c r="Z78" s="445" t="s">
        <v>171</v>
      </c>
      <c r="AA78" s="445"/>
      <c r="AB78" s="445"/>
      <c r="AC78" s="445"/>
      <c r="AD78" s="445"/>
      <c r="AE78" s="445"/>
      <c r="AF78" s="445"/>
      <c r="AG78" s="445"/>
      <c r="AH78" s="445"/>
      <c r="AI78" s="445"/>
      <c r="AJ78" s="445"/>
      <c r="AK78" s="445"/>
    </row>
    <row r="79" spans="1:37" hidden="1">
      <c r="A79" s="673"/>
      <c r="B79" s="928"/>
      <c r="C79" s="1029"/>
      <c r="D79" s="1025"/>
      <c r="E79" s="1025"/>
      <c r="F79" s="1025"/>
      <c r="G79" s="1025"/>
      <c r="H79" s="1025"/>
      <c r="I79" s="1025"/>
      <c r="J79" s="1030"/>
      <c r="K79" s="1030"/>
      <c r="L79" s="1025"/>
      <c r="M79" s="1025"/>
      <c r="N79" s="1025"/>
      <c r="O79" s="1025"/>
      <c r="P79" s="920" t="s">
        <v>179</v>
      </c>
      <c r="Q79" s="920">
        <v>106.55474</v>
      </c>
      <c r="R79" s="920">
        <v>-6.37906</v>
      </c>
      <c r="S79" s="920">
        <v>62</v>
      </c>
      <c r="T79" s="920">
        <v>60</v>
      </c>
      <c r="U79" s="553">
        <v>44264</v>
      </c>
      <c r="V79" s="920"/>
      <c r="W79" s="920"/>
      <c r="X79" s="920" t="s">
        <v>2121</v>
      </c>
      <c r="Y79" s="920" t="s">
        <v>319</v>
      </c>
      <c r="Z79" s="920" t="s">
        <v>171</v>
      </c>
      <c r="AA79" s="445"/>
      <c r="AB79" s="445"/>
      <c r="AC79" s="445"/>
      <c r="AD79" s="445"/>
      <c r="AE79" s="445"/>
      <c r="AF79" s="445"/>
      <c r="AG79" s="445"/>
      <c r="AH79" s="445"/>
      <c r="AI79" s="445"/>
      <c r="AJ79" s="445"/>
      <c r="AK79" s="445"/>
    </row>
    <row r="80" spans="1:37" hidden="1">
      <c r="A80" s="673"/>
      <c r="B80" s="928"/>
      <c r="C80" s="1025" t="s">
        <v>2163</v>
      </c>
      <c r="D80" s="1025" t="s">
        <v>2161</v>
      </c>
      <c r="E80" s="1025" t="s">
        <v>2161</v>
      </c>
      <c r="F80" s="1025" t="s">
        <v>3</v>
      </c>
      <c r="G80" s="1025" t="s">
        <v>11</v>
      </c>
      <c r="H80" s="1025" t="s">
        <v>12</v>
      </c>
      <c r="I80" s="1025" t="s">
        <v>13</v>
      </c>
      <c r="J80" s="1025">
        <v>-6.9031414299999998</v>
      </c>
      <c r="K80" s="1025">
        <v>106.8934941</v>
      </c>
      <c r="L80" s="1025">
        <v>52</v>
      </c>
      <c r="M80" s="1025"/>
      <c r="N80" s="1025"/>
      <c r="O80" s="1025"/>
      <c r="P80" s="390" t="s">
        <v>1978</v>
      </c>
      <c r="Q80" s="390">
        <v>106.89324999999999</v>
      </c>
      <c r="R80" s="390">
        <v>-6.9027000000000003</v>
      </c>
      <c r="S80" s="390">
        <v>52</v>
      </c>
      <c r="T80" s="390"/>
      <c r="U80" s="390"/>
      <c r="V80" s="390"/>
      <c r="W80" s="390"/>
      <c r="X80" s="390"/>
      <c r="Y80" s="390" t="s">
        <v>319</v>
      </c>
      <c r="Z80" s="390"/>
      <c r="AA80" s="390"/>
      <c r="AB80" s="390"/>
      <c r="AC80" s="390"/>
      <c r="AD80" s="390"/>
      <c r="AE80" s="390"/>
      <c r="AF80" s="390"/>
      <c r="AG80" s="390"/>
      <c r="AH80" s="390"/>
      <c r="AI80" s="390"/>
      <c r="AJ80" s="390"/>
      <c r="AK80" s="390"/>
    </row>
    <row r="81" spans="1:37" hidden="1">
      <c r="A81" s="673"/>
      <c r="B81" s="928"/>
      <c r="C81" s="1025"/>
      <c r="D81" s="1025"/>
      <c r="E81" s="1025"/>
      <c r="F81" s="1025"/>
      <c r="G81" s="1025"/>
      <c r="H81" s="1025"/>
      <c r="I81" s="1025"/>
      <c r="J81" s="1025"/>
      <c r="K81" s="1025"/>
      <c r="L81" s="1025"/>
      <c r="M81" s="1025"/>
      <c r="N81" s="1025"/>
      <c r="O81" s="1025"/>
      <c r="P81" s="390" t="s">
        <v>1975</v>
      </c>
      <c r="Q81" s="390">
        <v>106.89368</v>
      </c>
      <c r="R81" s="390">
        <v>-6.9019199999999996</v>
      </c>
      <c r="S81" s="390">
        <v>52</v>
      </c>
      <c r="T81" s="390"/>
      <c r="U81" s="390"/>
      <c r="V81" s="390"/>
      <c r="W81" s="390"/>
      <c r="X81" s="390"/>
      <c r="Y81" s="390" t="s">
        <v>319</v>
      </c>
      <c r="Z81" s="390"/>
      <c r="AA81" s="390"/>
      <c r="AB81" s="390"/>
      <c r="AC81" s="390"/>
      <c r="AD81" s="390"/>
      <c r="AE81" s="390"/>
      <c r="AF81" s="390"/>
      <c r="AG81" s="390"/>
      <c r="AH81" s="390"/>
      <c r="AI81" s="390"/>
      <c r="AJ81" s="390"/>
      <c r="AK81" s="390"/>
    </row>
    <row r="82" spans="1:37" hidden="1">
      <c r="A82" s="673"/>
      <c r="B82" s="928"/>
      <c r="C82" s="1025"/>
      <c r="D82" s="1025"/>
      <c r="E82" s="1025"/>
      <c r="F82" s="1025"/>
      <c r="G82" s="1025"/>
      <c r="H82" s="1025"/>
      <c r="I82" s="1025"/>
      <c r="J82" s="1025"/>
      <c r="K82" s="1025"/>
      <c r="L82" s="1025"/>
      <c r="M82" s="1025"/>
      <c r="N82" s="1025"/>
      <c r="O82" s="1025"/>
      <c r="P82" s="916" t="s">
        <v>2162</v>
      </c>
      <c r="Q82" s="916">
        <v>106.89327</v>
      </c>
      <c r="R82" s="916">
        <v>-6.90022</v>
      </c>
      <c r="S82" s="916">
        <v>52</v>
      </c>
      <c r="T82" s="916"/>
      <c r="U82" s="144">
        <v>44243</v>
      </c>
      <c r="V82" s="916"/>
      <c r="W82" s="144">
        <v>44243</v>
      </c>
      <c r="X82" s="916" t="s">
        <v>2221</v>
      </c>
      <c r="Y82" s="916" t="s">
        <v>319</v>
      </c>
      <c r="Z82" s="916" t="s">
        <v>171</v>
      </c>
      <c r="AA82" s="916"/>
      <c r="AB82" s="916"/>
      <c r="AC82" s="916"/>
      <c r="AD82" s="916"/>
      <c r="AE82" s="916"/>
      <c r="AF82" s="916"/>
      <c r="AG82" s="916"/>
      <c r="AH82" s="916"/>
      <c r="AI82" s="916"/>
      <c r="AJ82" s="916"/>
      <c r="AK82" s="916"/>
    </row>
    <row r="83" spans="1:37" hidden="1">
      <c r="A83" s="673"/>
      <c r="B83" s="928"/>
      <c r="C83" s="1025" t="s">
        <v>2371</v>
      </c>
      <c r="D83" s="1025" t="s">
        <v>2408</v>
      </c>
      <c r="E83" s="916"/>
      <c r="F83" s="1025" t="s">
        <v>54</v>
      </c>
      <c r="G83" s="1025" t="s">
        <v>11</v>
      </c>
      <c r="H83" s="1025" t="s">
        <v>26</v>
      </c>
      <c r="I83" s="1025" t="s">
        <v>13</v>
      </c>
      <c r="J83" s="1025">
        <v>-6.6466750000000001</v>
      </c>
      <c r="K83" s="1025">
        <v>106.64747800000001</v>
      </c>
      <c r="L83" s="1025">
        <v>52</v>
      </c>
      <c r="M83" s="1025">
        <v>45</v>
      </c>
      <c r="N83" s="1025"/>
      <c r="O83" s="1025"/>
      <c r="P83" s="916" t="s">
        <v>316</v>
      </c>
      <c r="Q83" s="916">
        <v>106.64742</v>
      </c>
      <c r="R83" s="916">
        <v>-6.6477700000000004</v>
      </c>
      <c r="S83" s="916">
        <v>52</v>
      </c>
      <c r="T83" s="916">
        <v>45</v>
      </c>
      <c r="U83" s="144">
        <v>44326</v>
      </c>
      <c r="V83" s="916"/>
      <c r="W83" s="144">
        <v>44326</v>
      </c>
      <c r="X83" s="916" t="s">
        <v>2428</v>
      </c>
      <c r="Y83" s="916" t="s">
        <v>319</v>
      </c>
      <c r="Z83" s="916" t="s">
        <v>171</v>
      </c>
      <c r="AA83" s="916"/>
      <c r="AB83" s="916"/>
      <c r="AC83" s="916"/>
      <c r="AD83" s="916"/>
      <c r="AE83" s="916"/>
      <c r="AF83" s="916"/>
      <c r="AG83" s="916"/>
      <c r="AH83" s="916"/>
      <c r="AI83" s="916"/>
      <c r="AJ83" s="916"/>
      <c r="AK83" s="916"/>
    </row>
    <row r="84" spans="1:37" hidden="1">
      <c r="A84" s="673"/>
      <c r="B84" s="928"/>
      <c r="C84" s="1025"/>
      <c r="D84" s="1025"/>
      <c r="E84" s="916"/>
      <c r="F84" s="1025"/>
      <c r="G84" s="1025"/>
      <c r="H84" s="1025"/>
      <c r="I84" s="1025"/>
      <c r="J84" s="1025"/>
      <c r="K84" s="1025"/>
      <c r="L84" s="1025"/>
      <c r="M84" s="1025"/>
      <c r="N84" s="1025"/>
      <c r="O84" s="1025"/>
      <c r="P84" s="916" t="s">
        <v>314</v>
      </c>
      <c r="Q84" s="916">
        <v>106.64825</v>
      </c>
      <c r="R84" s="916">
        <v>-6.6458199999999996</v>
      </c>
      <c r="S84" s="916">
        <v>52</v>
      </c>
      <c r="T84" s="916">
        <v>45</v>
      </c>
      <c r="U84" s="144">
        <v>44340</v>
      </c>
      <c r="V84" s="916"/>
      <c r="W84" s="916"/>
      <c r="X84" s="916" t="s">
        <v>2431</v>
      </c>
      <c r="Y84" s="916" t="s">
        <v>319</v>
      </c>
      <c r="Z84" s="916" t="s">
        <v>171</v>
      </c>
      <c r="AA84" s="916"/>
      <c r="AB84" s="916"/>
      <c r="AC84" s="916"/>
      <c r="AD84" s="916"/>
      <c r="AE84" s="916"/>
      <c r="AF84" s="916"/>
      <c r="AG84" s="916"/>
      <c r="AH84" s="916"/>
      <c r="AI84" s="916"/>
      <c r="AJ84" s="916"/>
      <c r="AK84" s="916"/>
    </row>
    <row r="85" spans="1:37" hidden="1">
      <c r="A85" s="673"/>
      <c r="B85" s="928"/>
      <c r="C85" s="1025"/>
      <c r="D85" s="1025"/>
      <c r="E85" s="916"/>
      <c r="F85" s="1025"/>
      <c r="G85" s="1025"/>
      <c r="H85" s="1025"/>
      <c r="I85" s="1025"/>
      <c r="J85" s="1025"/>
      <c r="K85" s="1025"/>
      <c r="L85" s="1025"/>
      <c r="M85" s="1025"/>
      <c r="N85" s="1025"/>
      <c r="O85" s="1025"/>
      <c r="P85" s="916" t="s">
        <v>179</v>
      </c>
      <c r="Q85" s="916">
        <v>106.64952</v>
      </c>
      <c r="R85" s="916">
        <v>-6.6490900000000002</v>
      </c>
      <c r="S85" s="916">
        <v>52</v>
      </c>
      <c r="T85" s="916">
        <v>55</v>
      </c>
      <c r="U85" s="144">
        <v>44354</v>
      </c>
      <c r="V85" s="916"/>
      <c r="W85" s="916"/>
      <c r="X85" s="916"/>
      <c r="Y85" s="916"/>
      <c r="Z85" s="916"/>
      <c r="AA85" s="916"/>
      <c r="AB85" s="916"/>
      <c r="AC85" s="916"/>
      <c r="AD85" s="916"/>
      <c r="AE85" s="916"/>
      <c r="AF85" s="916"/>
      <c r="AG85" s="916"/>
      <c r="AH85" s="916"/>
      <c r="AI85" s="916"/>
      <c r="AJ85" s="916"/>
      <c r="AK85" s="916"/>
    </row>
    <row r="86" spans="1:37" hidden="1">
      <c r="A86" s="673"/>
      <c r="B86" s="928"/>
      <c r="C86" s="1025"/>
      <c r="D86" s="1025"/>
      <c r="E86" s="916"/>
      <c r="F86" s="1025"/>
      <c r="G86" s="1025"/>
      <c r="H86" s="1025"/>
      <c r="I86" s="1025"/>
      <c r="J86" s="1025"/>
      <c r="K86" s="1025"/>
      <c r="L86" s="1025"/>
      <c r="M86" s="1025"/>
      <c r="N86" s="1025"/>
      <c r="O86" s="1025"/>
      <c r="P86" s="916" t="s">
        <v>178</v>
      </c>
      <c r="Q86" s="916">
        <v>106.64558</v>
      </c>
      <c r="R86" s="916">
        <v>-6.64682</v>
      </c>
      <c r="S86" s="916">
        <v>52</v>
      </c>
      <c r="T86" s="916">
        <v>50</v>
      </c>
      <c r="U86" s="144">
        <v>44362</v>
      </c>
      <c r="V86" s="916"/>
      <c r="W86" s="916"/>
      <c r="X86" s="916" t="s">
        <v>2448</v>
      </c>
      <c r="Y86" s="916"/>
      <c r="Z86" s="916"/>
      <c r="AA86" s="916"/>
      <c r="AB86" s="916"/>
      <c r="AC86" s="916"/>
      <c r="AD86" s="916"/>
      <c r="AE86" s="916"/>
      <c r="AF86" s="916"/>
      <c r="AG86" s="916"/>
      <c r="AH86" s="916"/>
      <c r="AI86" s="916"/>
      <c r="AJ86" s="916"/>
      <c r="AK86" s="916"/>
    </row>
    <row r="87" spans="1:37" hidden="1">
      <c r="A87" s="673"/>
      <c r="B87" s="928"/>
      <c r="C87" s="1024" t="s">
        <v>2490</v>
      </c>
      <c r="D87" s="1024" t="s">
        <v>2500</v>
      </c>
      <c r="E87" s="916"/>
      <c r="F87" s="1025" t="s">
        <v>54</v>
      </c>
      <c r="G87" s="1025" t="s">
        <v>11</v>
      </c>
      <c r="H87" s="1025" t="s">
        <v>19</v>
      </c>
      <c r="I87" s="1025" t="s">
        <v>20</v>
      </c>
      <c r="J87" s="1024">
        <v>-6.1021869999999998</v>
      </c>
      <c r="K87" s="1024">
        <v>106.663962</v>
      </c>
      <c r="L87" s="1025">
        <v>42</v>
      </c>
      <c r="M87" s="1025">
        <v>35</v>
      </c>
      <c r="N87" s="916"/>
      <c r="O87" s="916"/>
      <c r="P87" s="916" t="s">
        <v>316</v>
      </c>
      <c r="Q87" s="916">
        <v>106.66418</v>
      </c>
      <c r="R87" s="916">
        <v>-6.1020799999999999</v>
      </c>
      <c r="S87" s="916">
        <v>32</v>
      </c>
      <c r="T87" s="916">
        <v>30.5</v>
      </c>
      <c r="U87" s="144">
        <v>44386</v>
      </c>
      <c r="V87" s="916"/>
      <c r="W87" s="916"/>
      <c r="X87" s="916" t="s">
        <v>2522</v>
      </c>
      <c r="Y87" s="916" t="s">
        <v>319</v>
      </c>
      <c r="Z87" s="916"/>
      <c r="AA87" s="916"/>
      <c r="AB87" s="916"/>
      <c r="AC87" s="916"/>
      <c r="AD87" s="916"/>
      <c r="AE87" s="916"/>
      <c r="AF87" s="916"/>
      <c r="AG87" s="916"/>
      <c r="AH87" s="916"/>
      <c r="AI87" s="916"/>
      <c r="AJ87" s="916"/>
      <c r="AK87" s="916"/>
    </row>
    <row r="88" spans="1:37" hidden="1">
      <c r="A88" s="673"/>
      <c r="B88" s="928"/>
      <c r="C88" s="1024"/>
      <c r="D88" s="1024"/>
      <c r="E88" s="916"/>
      <c r="F88" s="1025"/>
      <c r="G88" s="1025"/>
      <c r="H88" s="1025"/>
      <c r="I88" s="1025"/>
      <c r="J88" s="1024"/>
      <c r="K88" s="1024"/>
      <c r="L88" s="1025"/>
      <c r="M88" s="1025"/>
      <c r="N88" s="916"/>
      <c r="O88" s="916"/>
      <c r="P88" s="916" t="s">
        <v>314</v>
      </c>
      <c r="Q88" s="916">
        <v>106.6643</v>
      </c>
      <c r="R88" s="916">
        <v>-6.1014900000000001</v>
      </c>
      <c r="S88" s="916">
        <v>32</v>
      </c>
      <c r="T88" s="916">
        <v>30.5</v>
      </c>
      <c r="U88" s="144">
        <v>44403</v>
      </c>
      <c r="V88" s="916"/>
      <c r="W88" s="916"/>
      <c r="X88" s="916" t="s">
        <v>2578</v>
      </c>
      <c r="Y88" s="916" t="s">
        <v>319</v>
      </c>
      <c r="Z88" s="916"/>
      <c r="AA88" s="916"/>
      <c r="AB88" s="916"/>
      <c r="AC88" s="916"/>
      <c r="AD88" s="916"/>
      <c r="AE88" s="916"/>
      <c r="AF88" s="916"/>
      <c r="AG88" s="916"/>
      <c r="AH88" s="916"/>
      <c r="AI88" s="916"/>
      <c r="AJ88" s="916"/>
      <c r="AK88" s="916"/>
    </row>
    <row r="89" spans="1:37" ht="15" hidden="1" customHeight="1">
      <c r="A89" s="673"/>
      <c r="B89" s="928"/>
      <c r="C89" s="1024" t="s">
        <v>488</v>
      </c>
      <c r="D89" s="1024" t="s">
        <v>2507</v>
      </c>
      <c r="E89" s="916"/>
      <c r="F89" s="1025" t="s">
        <v>54</v>
      </c>
      <c r="G89" s="1025" t="s">
        <v>5</v>
      </c>
      <c r="H89" s="1025" t="s">
        <v>21</v>
      </c>
      <c r="I89" s="1025" t="s">
        <v>20</v>
      </c>
      <c r="J89" s="1024">
        <v>-6.1987629999999996</v>
      </c>
      <c r="K89" s="1024">
        <v>106.68875199999999</v>
      </c>
      <c r="L89" s="1025">
        <v>32</v>
      </c>
      <c r="M89" s="1025">
        <v>30</v>
      </c>
      <c r="N89" s="916"/>
      <c r="O89" s="916"/>
      <c r="P89" s="445" t="s">
        <v>316</v>
      </c>
      <c r="Q89" s="445">
        <v>106.68938</v>
      </c>
      <c r="R89" s="445">
        <v>-6.1971699999999998</v>
      </c>
      <c r="S89" s="922"/>
      <c r="T89" s="922"/>
      <c r="U89" s="922"/>
      <c r="V89" s="922"/>
      <c r="W89" s="922"/>
      <c r="X89" s="922"/>
      <c r="Y89" s="922"/>
      <c r="Z89" s="922"/>
      <c r="AA89" s="922"/>
      <c r="AB89" s="922"/>
      <c r="AC89" s="922"/>
      <c r="AD89" s="922"/>
      <c r="AE89" s="922"/>
      <c r="AF89" s="1034" t="s">
        <v>2536</v>
      </c>
      <c r="AG89" s="1034"/>
      <c r="AH89" s="1034"/>
      <c r="AI89" s="1034"/>
      <c r="AJ89" s="1034"/>
      <c r="AK89" s="1034"/>
    </row>
    <row r="90" spans="1:37" ht="15" hidden="1" customHeight="1">
      <c r="A90" s="673"/>
      <c r="B90" s="928"/>
      <c r="C90" s="1024"/>
      <c r="D90" s="1024"/>
      <c r="E90" s="916"/>
      <c r="F90" s="1025"/>
      <c r="G90" s="1025"/>
      <c r="H90" s="1025"/>
      <c r="I90" s="1025"/>
      <c r="J90" s="1024"/>
      <c r="K90" s="1024"/>
      <c r="L90" s="1025"/>
      <c r="M90" s="1025"/>
      <c r="N90" s="916"/>
      <c r="O90" s="916"/>
      <c r="P90" s="445" t="s">
        <v>314</v>
      </c>
      <c r="Q90" s="445">
        <v>106.68697</v>
      </c>
      <c r="R90" s="445">
        <v>-6.1998199999999999</v>
      </c>
      <c r="S90" s="922"/>
      <c r="T90" s="922"/>
      <c r="U90" s="922"/>
      <c r="V90" s="922"/>
      <c r="W90" s="922"/>
      <c r="X90" s="922"/>
      <c r="Y90" s="922"/>
      <c r="Z90" s="922"/>
      <c r="AA90" s="922"/>
      <c r="AB90" s="922"/>
      <c r="AC90" s="922"/>
      <c r="AD90" s="922"/>
      <c r="AE90" s="922"/>
      <c r="AF90" s="1034"/>
      <c r="AG90" s="1034"/>
      <c r="AH90" s="1034"/>
      <c r="AI90" s="1034"/>
      <c r="AJ90" s="1034"/>
      <c r="AK90" s="1034"/>
    </row>
    <row r="91" spans="1:37" ht="15" hidden="1" customHeight="1">
      <c r="A91" s="673"/>
      <c r="B91" s="928"/>
      <c r="C91" s="1024"/>
      <c r="D91" s="1024"/>
      <c r="E91" s="916"/>
      <c r="F91" s="1025"/>
      <c r="G91" s="1025"/>
      <c r="H91" s="1025"/>
      <c r="I91" s="1025"/>
      <c r="J91" s="1024"/>
      <c r="K91" s="1024"/>
      <c r="L91" s="1025"/>
      <c r="M91" s="1025"/>
      <c r="N91" s="916"/>
      <c r="O91" s="916"/>
      <c r="P91" s="916" t="s">
        <v>179</v>
      </c>
      <c r="Q91" s="916">
        <v>106.68698000000001</v>
      </c>
      <c r="R91" s="916">
        <v>-6.1987399999999999</v>
      </c>
      <c r="S91" s="916">
        <v>42</v>
      </c>
      <c r="T91" s="916">
        <v>35</v>
      </c>
      <c r="U91" s="144">
        <v>44387</v>
      </c>
      <c r="V91" s="916"/>
      <c r="W91" s="916"/>
      <c r="X91" s="916">
        <v>195</v>
      </c>
      <c r="Y91" s="916" t="s">
        <v>319</v>
      </c>
      <c r="Z91" s="922"/>
      <c r="AA91" s="922"/>
      <c r="AB91" s="922"/>
      <c r="AC91" s="922"/>
      <c r="AD91" s="922"/>
      <c r="AE91" s="922"/>
      <c r="AF91" s="922"/>
      <c r="AG91" s="922"/>
      <c r="AH91" s="922"/>
      <c r="AI91" s="922"/>
      <c r="AJ91" s="922"/>
      <c r="AK91" s="922"/>
    </row>
    <row r="92" spans="1:37" ht="15" hidden="1" customHeight="1">
      <c r="A92" s="676"/>
      <c r="B92" s="928"/>
      <c r="C92" s="1024"/>
      <c r="D92" s="1024"/>
      <c r="E92" s="916"/>
      <c r="F92" s="1025"/>
      <c r="G92" s="1025"/>
      <c r="H92" s="1025"/>
      <c r="I92" s="1025"/>
      <c r="J92" s="1024"/>
      <c r="K92" s="1024"/>
      <c r="L92" s="1025"/>
      <c r="M92" s="1025"/>
      <c r="N92" s="916"/>
      <c r="O92" s="916"/>
      <c r="P92" s="916" t="s">
        <v>178</v>
      </c>
      <c r="Q92" s="916">
        <v>106.68684</v>
      </c>
      <c r="R92" s="916">
        <v>-6.1975100000000003</v>
      </c>
      <c r="S92" s="916">
        <v>52</v>
      </c>
      <c r="T92" s="916">
        <v>45</v>
      </c>
      <c r="U92" s="144">
        <v>44411</v>
      </c>
      <c r="V92" s="916"/>
      <c r="W92" s="916"/>
      <c r="X92" s="916">
        <v>253.15</v>
      </c>
      <c r="Y92" s="916" t="s">
        <v>319</v>
      </c>
      <c r="Z92" s="922"/>
      <c r="AA92" s="922"/>
      <c r="AB92" s="922"/>
      <c r="AC92" s="922"/>
      <c r="AD92" s="922"/>
      <c r="AE92" s="922"/>
      <c r="AF92" s="922"/>
      <c r="AG92" s="922"/>
      <c r="AH92" s="922"/>
      <c r="AI92" s="922"/>
      <c r="AJ92" s="922"/>
      <c r="AK92" s="922"/>
    </row>
    <row r="93" spans="1:37" hidden="1">
      <c r="A93" s="673"/>
      <c r="B93" s="928"/>
      <c r="C93" s="1024"/>
      <c r="D93" s="1024"/>
      <c r="E93" s="916"/>
      <c r="F93" s="1025"/>
      <c r="G93" s="1025"/>
      <c r="H93" s="1025"/>
      <c r="I93" s="1025"/>
      <c r="J93" s="1024"/>
      <c r="K93" s="1024"/>
      <c r="L93" s="1025"/>
      <c r="M93" s="1025"/>
      <c r="N93" s="916"/>
      <c r="O93" s="916"/>
      <c r="P93" s="916" t="s">
        <v>323</v>
      </c>
      <c r="Q93" s="916">
        <v>106.68600000000001</v>
      </c>
      <c r="R93" s="916">
        <v>-6.1974099999999996</v>
      </c>
      <c r="S93" s="916">
        <v>52</v>
      </c>
      <c r="T93" s="916">
        <v>45</v>
      </c>
      <c r="U93" s="144" t="s">
        <v>2965</v>
      </c>
      <c r="V93" s="916"/>
      <c r="W93" s="916"/>
      <c r="X93" s="916">
        <v>339.15</v>
      </c>
      <c r="Y93" s="916" t="s">
        <v>319</v>
      </c>
      <c r="Z93" s="916"/>
      <c r="AA93" s="916"/>
      <c r="AB93" s="916"/>
      <c r="AC93" s="916"/>
      <c r="AD93" s="916"/>
      <c r="AE93" s="916"/>
      <c r="AF93" s="916"/>
      <c r="AG93" s="916"/>
      <c r="AH93" s="916"/>
      <c r="AI93" s="916"/>
      <c r="AJ93" s="916"/>
      <c r="AK93" s="916"/>
    </row>
    <row r="94" spans="1:37" hidden="1">
      <c r="A94" s="673"/>
      <c r="B94" s="928"/>
      <c r="C94" s="915" t="s">
        <v>2497</v>
      </c>
      <c r="D94" s="915" t="s">
        <v>2508</v>
      </c>
      <c r="E94" s="916"/>
      <c r="F94" s="916" t="s">
        <v>54</v>
      </c>
      <c r="G94" s="916" t="s">
        <v>5</v>
      </c>
      <c r="H94" s="916" t="s">
        <v>6</v>
      </c>
      <c r="I94" s="916" t="s">
        <v>7</v>
      </c>
      <c r="J94" s="915">
        <v>-6.1336320000000004</v>
      </c>
      <c r="K94" s="915">
        <v>106.84193399999999</v>
      </c>
      <c r="L94" s="916">
        <v>32</v>
      </c>
      <c r="M94" s="916">
        <v>30</v>
      </c>
      <c r="N94" s="916"/>
      <c r="O94" s="916"/>
      <c r="P94" s="916" t="s">
        <v>316</v>
      </c>
      <c r="Q94" s="916">
        <v>106.84181</v>
      </c>
      <c r="R94" s="916">
        <v>-6.1342400000000001</v>
      </c>
      <c r="S94" s="916">
        <v>35</v>
      </c>
      <c r="T94" s="916">
        <v>30</v>
      </c>
      <c r="U94" s="144">
        <v>44386</v>
      </c>
      <c r="V94" s="916"/>
      <c r="W94" s="916"/>
      <c r="X94" s="916">
        <v>68.98</v>
      </c>
      <c r="Y94" s="916" t="s">
        <v>2535</v>
      </c>
      <c r="Z94" s="916"/>
      <c r="AA94" s="916"/>
      <c r="AB94" s="916"/>
      <c r="AC94" s="916"/>
      <c r="AD94" s="916"/>
      <c r="AE94" s="916"/>
      <c r="AF94" s="916"/>
      <c r="AG94" s="916"/>
      <c r="AH94" s="916"/>
      <c r="AI94" s="916"/>
      <c r="AJ94" s="916"/>
      <c r="AK94" s="916"/>
    </row>
    <row r="95" spans="1:37" hidden="1">
      <c r="A95" s="673"/>
      <c r="B95" s="928"/>
      <c r="C95" s="915"/>
      <c r="D95" s="915"/>
      <c r="E95" s="916"/>
      <c r="F95" s="916"/>
      <c r="G95" s="916"/>
      <c r="H95" s="916"/>
      <c r="I95" s="916"/>
      <c r="J95" s="915"/>
      <c r="K95" s="915"/>
      <c r="L95" s="916"/>
      <c r="M95" s="916"/>
      <c r="N95" s="916"/>
      <c r="O95" s="916"/>
      <c r="P95" s="916" t="s">
        <v>314</v>
      </c>
      <c r="Q95" s="916">
        <v>106.84213</v>
      </c>
      <c r="R95" s="916">
        <v>-6.1341000000000001</v>
      </c>
      <c r="S95" s="916">
        <v>25</v>
      </c>
      <c r="T95" s="916">
        <v>23.5</v>
      </c>
      <c r="U95" s="144"/>
      <c r="V95" s="916"/>
      <c r="W95" s="916"/>
      <c r="X95" s="916"/>
      <c r="Y95" s="916"/>
      <c r="Z95" s="916"/>
      <c r="AA95" s="916"/>
      <c r="AB95" s="916"/>
      <c r="AC95" s="916"/>
      <c r="AD95" s="916"/>
      <c r="AE95" s="916"/>
      <c r="AF95" s="916"/>
      <c r="AG95" s="916"/>
      <c r="AH95" s="916"/>
      <c r="AI95" s="916"/>
      <c r="AJ95" s="916"/>
      <c r="AK95" s="916"/>
    </row>
    <row r="96" spans="1:37" hidden="1">
      <c r="A96" s="784"/>
      <c r="B96" s="928"/>
      <c r="C96" s="915" t="s">
        <v>2492</v>
      </c>
      <c r="D96" s="915" t="s">
        <v>2502</v>
      </c>
      <c r="E96" s="916"/>
      <c r="F96" s="916" t="s">
        <v>54</v>
      </c>
      <c r="G96" s="916" t="s">
        <v>5</v>
      </c>
      <c r="H96" s="916" t="s">
        <v>505</v>
      </c>
      <c r="I96" s="916" t="s">
        <v>7</v>
      </c>
      <c r="J96" s="915">
        <v>-6.1510340000000001</v>
      </c>
      <c r="K96" s="915">
        <v>106.795839</v>
      </c>
      <c r="L96" s="916">
        <v>25</v>
      </c>
      <c r="M96" s="916">
        <v>25</v>
      </c>
      <c r="N96" s="916"/>
      <c r="O96" s="916"/>
      <c r="P96" s="916" t="s">
        <v>316</v>
      </c>
      <c r="Q96" s="916">
        <v>106.79591000000001</v>
      </c>
      <c r="R96" s="916">
        <v>-6.1510999999999996</v>
      </c>
      <c r="S96" s="916">
        <v>25</v>
      </c>
      <c r="T96" s="916">
        <v>24</v>
      </c>
      <c r="U96" s="144">
        <v>44386</v>
      </c>
      <c r="V96" s="916"/>
      <c r="W96" s="916"/>
      <c r="X96" s="916">
        <v>10.75</v>
      </c>
      <c r="Y96" s="916" t="s">
        <v>1118</v>
      </c>
      <c r="Z96" s="916"/>
      <c r="AA96" s="916"/>
      <c r="AB96" s="916"/>
      <c r="AC96" s="916"/>
      <c r="AD96" s="916"/>
      <c r="AE96" s="916"/>
      <c r="AF96" s="916"/>
      <c r="AG96" s="916"/>
      <c r="AH96" s="916"/>
      <c r="AI96" s="916"/>
      <c r="AJ96" s="916"/>
      <c r="AK96" s="916"/>
    </row>
    <row r="97" spans="1:37" hidden="1">
      <c r="A97" s="673"/>
      <c r="B97" s="928"/>
      <c r="C97" s="915" t="s">
        <v>2491</v>
      </c>
      <c r="D97" s="915" t="s">
        <v>2501</v>
      </c>
      <c r="E97" s="916"/>
      <c r="F97" s="916" t="s">
        <v>54</v>
      </c>
      <c r="G97" s="916" t="s">
        <v>5</v>
      </c>
      <c r="H97" s="916" t="s">
        <v>505</v>
      </c>
      <c r="I97" s="916" t="s">
        <v>7</v>
      </c>
      <c r="J97" s="915">
        <v>-6.1410999999999998</v>
      </c>
      <c r="K97" s="915">
        <v>106.76849</v>
      </c>
      <c r="L97" s="916">
        <v>32</v>
      </c>
      <c r="M97" s="916">
        <v>30</v>
      </c>
      <c r="N97" s="916"/>
      <c r="O97" s="916"/>
      <c r="P97" s="916" t="s">
        <v>316</v>
      </c>
      <c r="Q97" s="916">
        <v>106.76788000000001</v>
      </c>
      <c r="R97" s="916">
        <v>-6.1416000000000004</v>
      </c>
      <c r="S97" s="916">
        <v>25</v>
      </c>
      <c r="T97" s="916"/>
      <c r="U97" s="144"/>
      <c r="V97" s="916"/>
      <c r="W97" s="916"/>
      <c r="X97" s="916"/>
      <c r="Y97" s="916"/>
      <c r="Z97" s="916"/>
      <c r="AA97" s="916"/>
      <c r="AB97" s="916"/>
      <c r="AC97" s="916"/>
      <c r="AD97" s="916"/>
      <c r="AE97" s="916"/>
      <c r="AF97" s="916"/>
      <c r="AG97" s="916"/>
      <c r="AH97" s="916"/>
      <c r="AI97" s="916"/>
      <c r="AJ97" s="916"/>
      <c r="AK97" s="916"/>
    </row>
    <row r="98" spans="1:37" hidden="1">
      <c r="A98" s="673"/>
      <c r="B98" s="928"/>
      <c r="C98" s="1024" t="s">
        <v>2499</v>
      </c>
      <c r="D98" s="1024" t="s">
        <v>2510</v>
      </c>
      <c r="E98" s="916"/>
      <c r="F98" s="1025" t="s">
        <v>54</v>
      </c>
      <c r="G98" s="1025" t="s">
        <v>11</v>
      </c>
      <c r="H98" s="1025" t="s">
        <v>12</v>
      </c>
      <c r="I98" s="1025" t="s">
        <v>13</v>
      </c>
      <c r="J98" s="1024">
        <v>-6.8767699999999996</v>
      </c>
      <c r="K98" s="1024">
        <v>106.672583</v>
      </c>
      <c r="L98" s="1025">
        <v>72</v>
      </c>
      <c r="M98" s="1025">
        <v>66</v>
      </c>
      <c r="N98" s="916"/>
      <c r="O98" s="916"/>
      <c r="P98" s="916" t="s">
        <v>316</v>
      </c>
      <c r="Q98" s="916">
        <v>106.6739</v>
      </c>
      <c r="R98" s="916">
        <v>-6.8767699999999996</v>
      </c>
      <c r="S98" s="916">
        <v>72</v>
      </c>
      <c r="T98" s="916">
        <v>66</v>
      </c>
      <c r="U98" s="144">
        <v>44386</v>
      </c>
      <c r="V98" s="916"/>
      <c r="W98" s="916"/>
      <c r="X98" s="916">
        <v>145.38999999999999</v>
      </c>
      <c r="Y98" s="916" t="s">
        <v>319</v>
      </c>
      <c r="Z98" s="916"/>
      <c r="AA98" s="916"/>
      <c r="AB98" s="916"/>
      <c r="AC98" s="916"/>
      <c r="AD98" s="916"/>
      <c r="AE98" s="916"/>
      <c r="AF98" s="916"/>
      <c r="AG98" s="916"/>
      <c r="AH98" s="916"/>
      <c r="AI98" s="916"/>
      <c r="AJ98" s="916"/>
      <c r="AK98" s="916"/>
    </row>
    <row r="99" spans="1:37" hidden="1">
      <c r="A99" s="673"/>
      <c r="B99" s="928"/>
      <c r="C99" s="1024"/>
      <c r="D99" s="1024"/>
      <c r="E99" s="916"/>
      <c r="F99" s="1025"/>
      <c r="G99" s="1025"/>
      <c r="H99" s="1025"/>
      <c r="I99" s="1025"/>
      <c r="J99" s="1024"/>
      <c r="K99" s="1024"/>
      <c r="L99" s="1025"/>
      <c r="M99" s="1025"/>
      <c r="N99" s="916"/>
      <c r="O99" s="916"/>
      <c r="P99" s="916" t="s">
        <v>314</v>
      </c>
      <c r="Q99" s="916">
        <v>106.66994</v>
      </c>
      <c r="R99" s="916">
        <v>-6.88218</v>
      </c>
      <c r="S99" s="916">
        <v>72</v>
      </c>
      <c r="T99" s="916">
        <v>70.5</v>
      </c>
      <c r="U99" s="144">
        <v>44411</v>
      </c>
      <c r="V99" s="916"/>
      <c r="W99" s="916"/>
      <c r="X99" s="916">
        <v>668.59</v>
      </c>
      <c r="Y99" s="916" t="s">
        <v>319</v>
      </c>
      <c r="Z99" s="916"/>
      <c r="AA99" s="916"/>
      <c r="AB99" s="916"/>
      <c r="AC99" s="916"/>
      <c r="AD99" s="916"/>
      <c r="AE99" s="916"/>
      <c r="AF99" s="916"/>
      <c r="AG99" s="916"/>
      <c r="AH99" s="916"/>
      <c r="AI99" s="916"/>
      <c r="AJ99" s="916"/>
      <c r="AK99" s="916"/>
    </row>
    <row r="100" spans="1:37" hidden="1">
      <c r="A100" s="673"/>
      <c r="B100" s="928"/>
      <c r="C100" s="1024"/>
      <c r="D100" s="1024"/>
      <c r="E100" s="916"/>
      <c r="F100" s="1025"/>
      <c r="G100" s="1025"/>
      <c r="H100" s="1025"/>
      <c r="I100" s="1025"/>
      <c r="J100" s="1024"/>
      <c r="K100" s="1024"/>
      <c r="L100" s="1025"/>
      <c r="M100" s="1025"/>
      <c r="N100" s="916"/>
      <c r="O100" s="916"/>
      <c r="P100" s="916" t="s">
        <v>179</v>
      </c>
      <c r="Q100" s="916">
        <v>106.67267</v>
      </c>
      <c r="R100" s="916">
        <v>-6.8823999999999996</v>
      </c>
      <c r="S100" s="916">
        <v>72</v>
      </c>
      <c r="T100" s="916">
        <v>70.5</v>
      </c>
      <c r="U100" s="144">
        <v>44411</v>
      </c>
      <c r="V100" s="916"/>
      <c r="W100" s="916"/>
      <c r="X100" s="916">
        <v>626.1</v>
      </c>
      <c r="Y100" s="916" t="s">
        <v>319</v>
      </c>
      <c r="Z100" s="916"/>
      <c r="AA100" s="916"/>
      <c r="AB100" s="916"/>
      <c r="AC100" s="916"/>
      <c r="AD100" s="916"/>
      <c r="AE100" s="916"/>
      <c r="AF100" s="916"/>
      <c r="AG100" s="916"/>
      <c r="AH100" s="916"/>
      <c r="AI100" s="916"/>
      <c r="AJ100" s="916"/>
      <c r="AK100" s="916"/>
    </row>
    <row r="101" spans="1:37" hidden="1">
      <c r="A101" s="673"/>
      <c r="B101" s="928"/>
      <c r="C101" s="1024" t="s">
        <v>2498</v>
      </c>
      <c r="D101" s="1024" t="s">
        <v>2509</v>
      </c>
      <c r="E101" s="916"/>
      <c r="F101" s="1025" t="s">
        <v>54</v>
      </c>
      <c r="G101" s="1025" t="s">
        <v>11</v>
      </c>
      <c r="H101" s="1025" t="s">
        <v>26</v>
      </c>
      <c r="I101" s="1025" t="s">
        <v>13</v>
      </c>
      <c r="J101" s="1024">
        <v>-6.4711869999999996</v>
      </c>
      <c r="K101" s="1024">
        <v>106.79571900000001</v>
      </c>
      <c r="L101" s="1025">
        <v>42</v>
      </c>
      <c r="M101" s="1025">
        <v>35</v>
      </c>
      <c r="N101" s="916"/>
      <c r="O101" s="916"/>
      <c r="P101" s="916" t="s">
        <v>316</v>
      </c>
      <c r="Q101" s="916">
        <v>106.79593</v>
      </c>
      <c r="R101" s="916">
        <v>-6.4716699999999996</v>
      </c>
      <c r="S101" s="916">
        <v>42</v>
      </c>
      <c r="T101" s="916">
        <v>35</v>
      </c>
      <c r="U101" s="144">
        <v>44386</v>
      </c>
      <c r="V101" s="916"/>
      <c r="W101" s="916"/>
      <c r="X101" s="916">
        <v>58.5</v>
      </c>
      <c r="Y101" s="916" t="s">
        <v>319</v>
      </c>
      <c r="Z101" s="916"/>
      <c r="AA101" s="916"/>
      <c r="AB101" s="916"/>
      <c r="AC101" s="916"/>
      <c r="AD101" s="916"/>
      <c r="AE101" s="916" t="s">
        <v>2077</v>
      </c>
      <c r="AF101" s="916" t="s">
        <v>2565</v>
      </c>
      <c r="AG101" s="916"/>
      <c r="AH101" s="916" t="s">
        <v>1030</v>
      </c>
      <c r="AI101" s="916"/>
      <c r="AJ101" s="916"/>
      <c r="AK101" s="916"/>
    </row>
    <row r="102" spans="1:37" hidden="1">
      <c r="A102" s="673"/>
      <c r="B102" s="928"/>
      <c r="C102" s="1024"/>
      <c r="D102" s="1024"/>
      <c r="E102" s="916"/>
      <c r="F102" s="1025"/>
      <c r="G102" s="1025"/>
      <c r="H102" s="1025"/>
      <c r="I102" s="1025"/>
      <c r="J102" s="1024"/>
      <c r="K102" s="1024"/>
      <c r="L102" s="1025"/>
      <c r="M102" s="1025"/>
      <c r="N102" s="916"/>
      <c r="O102" s="916"/>
      <c r="P102" s="916" t="s">
        <v>314</v>
      </c>
      <c r="Q102" s="916">
        <v>106.7963</v>
      </c>
      <c r="R102" s="916">
        <v>-6.4704100000000002</v>
      </c>
      <c r="S102" s="916">
        <v>42</v>
      </c>
      <c r="T102" s="916">
        <v>35</v>
      </c>
      <c r="U102" s="144">
        <v>44386</v>
      </c>
      <c r="V102" s="916"/>
      <c r="W102" s="916"/>
      <c r="X102" s="916">
        <v>107.64</v>
      </c>
      <c r="Y102" s="916" t="s">
        <v>319</v>
      </c>
      <c r="Z102" s="916"/>
      <c r="AA102" s="916"/>
      <c r="AB102" s="916"/>
      <c r="AC102" s="916"/>
      <c r="AD102" s="916"/>
      <c r="AE102" s="916" t="s">
        <v>1030</v>
      </c>
      <c r="AF102" s="916" t="s">
        <v>2565</v>
      </c>
      <c r="AG102" s="916"/>
      <c r="AH102" s="916" t="s">
        <v>2077</v>
      </c>
      <c r="AI102" s="916"/>
      <c r="AJ102" s="916"/>
      <c r="AK102" s="916"/>
    </row>
    <row r="103" spans="1:37" hidden="1">
      <c r="A103" s="673"/>
      <c r="B103" s="928"/>
      <c r="C103" s="1024" t="s">
        <v>2495</v>
      </c>
      <c r="D103" s="1024" t="s">
        <v>2505</v>
      </c>
      <c r="E103" s="916"/>
      <c r="F103" s="1025" t="s">
        <v>54</v>
      </c>
      <c r="G103" s="1025" t="s">
        <v>5</v>
      </c>
      <c r="H103" s="1025" t="s">
        <v>505</v>
      </c>
      <c r="I103" s="1025" t="s">
        <v>7</v>
      </c>
      <c r="J103" s="1024">
        <v>-6.1371099999999998</v>
      </c>
      <c r="K103" s="1024">
        <v>106.74878200000001</v>
      </c>
      <c r="L103" s="1025">
        <v>32</v>
      </c>
      <c r="M103" s="1025">
        <v>30</v>
      </c>
      <c r="N103" s="916"/>
      <c r="O103" s="916"/>
      <c r="P103" s="916" t="s">
        <v>316</v>
      </c>
      <c r="Q103" s="916">
        <v>106.74881000000001</v>
      </c>
      <c r="R103" s="916">
        <v>-6.1368</v>
      </c>
      <c r="S103" s="916">
        <v>25</v>
      </c>
      <c r="T103" s="916">
        <v>24</v>
      </c>
      <c r="U103" s="144">
        <v>44386</v>
      </c>
      <c r="V103" s="916"/>
      <c r="W103" s="916"/>
      <c r="X103" s="916">
        <v>34.61</v>
      </c>
      <c r="Y103" s="916" t="s">
        <v>1118</v>
      </c>
      <c r="Z103" s="916"/>
      <c r="AA103" s="916"/>
      <c r="AB103" s="916"/>
      <c r="AC103" s="916"/>
      <c r="AD103" s="916"/>
      <c r="AE103" s="916"/>
      <c r="AF103" s="916"/>
      <c r="AG103" s="916"/>
      <c r="AH103" s="916"/>
      <c r="AI103" s="916"/>
      <c r="AJ103" s="916"/>
      <c r="AK103" s="916"/>
    </row>
    <row r="104" spans="1:37" hidden="1">
      <c r="A104" s="808"/>
      <c r="B104" s="928"/>
      <c r="C104" s="1024"/>
      <c r="D104" s="1024"/>
      <c r="E104" s="916"/>
      <c r="F104" s="1025"/>
      <c r="G104" s="1025"/>
      <c r="H104" s="1025"/>
      <c r="I104" s="1025"/>
      <c r="J104" s="1024"/>
      <c r="K104" s="1024"/>
      <c r="L104" s="1025"/>
      <c r="M104" s="1025"/>
      <c r="N104" s="916"/>
      <c r="O104" s="916"/>
      <c r="P104" s="916" t="s">
        <v>314</v>
      </c>
      <c r="Q104" s="916">
        <v>106.74853</v>
      </c>
      <c r="R104" s="916">
        <v>-6.13659</v>
      </c>
      <c r="S104" s="916">
        <v>25</v>
      </c>
      <c r="T104" s="916">
        <v>24</v>
      </c>
      <c r="U104" s="144">
        <v>44386</v>
      </c>
      <c r="V104" s="916"/>
      <c r="W104" s="916"/>
      <c r="X104" s="916">
        <v>64.180000000000007</v>
      </c>
      <c r="Y104" s="916" t="s">
        <v>1118</v>
      </c>
      <c r="Z104" s="916"/>
      <c r="AA104" s="916"/>
      <c r="AB104" s="916"/>
      <c r="AC104" s="916"/>
      <c r="AD104" s="916"/>
      <c r="AE104" s="916"/>
      <c r="AF104" s="916"/>
      <c r="AG104" s="916"/>
      <c r="AH104" s="916"/>
      <c r="AI104" s="916"/>
      <c r="AJ104" s="916"/>
      <c r="AK104" s="916"/>
    </row>
    <row r="105" spans="1:37" hidden="1">
      <c r="A105" s="673"/>
      <c r="B105" s="928"/>
      <c r="C105" s="1024"/>
      <c r="D105" s="1024"/>
      <c r="E105" s="916"/>
      <c r="F105" s="1025"/>
      <c r="G105" s="1025"/>
      <c r="H105" s="1025"/>
      <c r="I105" s="1025"/>
      <c r="J105" s="1024"/>
      <c r="K105" s="1024"/>
      <c r="L105" s="1025"/>
      <c r="M105" s="1025"/>
      <c r="N105" s="916"/>
      <c r="O105" s="916"/>
      <c r="P105" s="916" t="s">
        <v>179</v>
      </c>
      <c r="Q105" s="916">
        <v>106.74818999999999</v>
      </c>
      <c r="R105" s="916">
        <v>-6.1372</v>
      </c>
      <c r="S105" s="916">
        <v>25</v>
      </c>
      <c r="T105" s="916">
        <v>24</v>
      </c>
      <c r="U105" s="144">
        <v>44386</v>
      </c>
      <c r="V105" s="916"/>
      <c r="W105" s="916"/>
      <c r="X105" s="916">
        <v>66.209999999999994</v>
      </c>
      <c r="Y105" s="916" t="s">
        <v>1118</v>
      </c>
      <c r="Z105" s="916"/>
      <c r="AA105" s="916"/>
      <c r="AB105" s="916"/>
      <c r="AC105" s="916"/>
      <c r="AD105" s="916"/>
      <c r="AE105" s="916"/>
      <c r="AF105" s="916"/>
      <c r="AG105" s="916"/>
      <c r="AH105" s="916"/>
      <c r="AI105" s="916"/>
      <c r="AJ105" s="916"/>
      <c r="AK105" s="916"/>
    </row>
    <row r="106" spans="1:37" hidden="1">
      <c r="A106" s="673"/>
      <c r="B106" s="928"/>
      <c r="C106" s="1024" t="s">
        <v>2493</v>
      </c>
      <c r="D106" s="1024" t="s">
        <v>2503</v>
      </c>
      <c r="E106" s="916"/>
      <c r="F106" s="1025" t="s">
        <v>54</v>
      </c>
      <c r="G106" s="1025" t="s">
        <v>5</v>
      </c>
      <c r="H106" s="1025" t="s">
        <v>505</v>
      </c>
      <c r="I106" s="1025" t="s">
        <v>7</v>
      </c>
      <c r="J106" s="1024">
        <v>-6.1100209999999997</v>
      </c>
      <c r="K106" s="1024">
        <v>106.71092</v>
      </c>
      <c r="L106" s="1025">
        <v>25</v>
      </c>
      <c r="M106" s="1025">
        <v>25</v>
      </c>
      <c r="N106" s="916"/>
      <c r="O106" s="916"/>
      <c r="P106" s="916" t="s">
        <v>316</v>
      </c>
      <c r="Q106" s="916">
        <v>106.71120000000001</v>
      </c>
      <c r="R106" s="916">
        <v>-6.1102800000000004</v>
      </c>
      <c r="S106" s="916">
        <v>25</v>
      </c>
      <c r="T106" s="916">
        <v>24</v>
      </c>
      <c r="U106" s="144">
        <v>44386</v>
      </c>
      <c r="V106" s="916"/>
      <c r="W106" s="916"/>
      <c r="X106" s="916">
        <v>42.04</v>
      </c>
      <c r="Y106" s="916" t="s">
        <v>1118</v>
      </c>
      <c r="Z106" s="916"/>
      <c r="AA106" s="916"/>
      <c r="AB106" s="916"/>
      <c r="AC106" s="916"/>
      <c r="AD106" s="916"/>
      <c r="AE106" s="916"/>
      <c r="AF106" s="916"/>
      <c r="AG106" s="916"/>
      <c r="AH106" s="916"/>
      <c r="AI106" s="916"/>
      <c r="AJ106" s="916"/>
      <c r="AK106" s="916"/>
    </row>
    <row r="107" spans="1:37" hidden="1">
      <c r="A107" s="673"/>
      <c r="B107" s="928"/>
      <c r="C107" s="1024"/>
      <c r="D107" s="1024"/>
      <c r="E107" s="916"/>
      <c r="F107" s="1025"/>
      <c r="G107" s="1025"/>
      <c r="H107" s="1025"/>
      <c r="I107" s="1025"/>
      <c r="J107" s="1024"/>
      <c r="K107" s="1024"/>
      <c r="L107" s="1025"/>
      <c r="M107" s="1025"/>
      <c r="N107" s="916"/>
      <c r="O107" s="916"/>
      <c r="P107" s="916" t="s">
        <v>314</v>
      </c>
      <c r="Q107" s="916">
        <v>106.71127</v>
      </c>
      <c r="R107" s="916">
        <v>-6.1097599999999996</v>
      </c>
      <c r="S107" s="916">
        <v>25</v>
      </c>
      <c r="T107" s="916">
        <v>24</v>
      </c>
      <c r="U107" s="144">
        <v>44386</v>
      </c>
      <c r="V107" s="916"/>
      <c r="W107" s="916"/>
      <c r="X107" s="916">
        <v>48.1</v>
      </c>
      <c r="Y107" s="916" t="s">
        <v>1118</v>
      </c>
      <c r="Z107" s="916"/>
      <c r="AA107" s="916"/>
      <c r="AB107" s="916"/>
      <c r="AC107" s="916"/>
      <c r="AD107" s="916"/>
      <c r="AE107" s="916"/>
      <c r="AF107" s="916"/>
      <c r="AG107" s="916"/>
      <c r="AH107" s="916"/>
      <c r="AI107" s="916"/>
      <c r="AJ107" s="916"/>
      <c r="AK107" s="916"/>
    </row>
    <row r="108" spans="1:37" hidden="1">
      <c r="A108" s="673"/>
      <c r="B108" s="928"/>
      <c r="C108" s="1024"/>
      <c r="D108" s="1024"/>
      <c r="E108" s="916"/>
      <c r="F108" s="1025"/>
      <c r="G108" s="1025"/>
      <c r="H108" s="1025"/>
      <c r="I108" s="1025"/>
      <c r="J108" s="1024"/>
      <c r="K108" s="1024"/>
      <c r="L108" s="1025"/>
      <c r="M108" s="1025"/>
      <c r="N108" s="916"/>
      <c r="O108" s="916"/>
      <c r="P108" s="916" t="s">
        <v>179</v>
      </c>
      <c r="Q108" s="916">
        <v>106.71053000000001</v>
      </c>
      <c r="R108" s="916">
        <v>-6.1102699999999999</v>
      </c>
      <c r="S108" s="916">
        <v>25</v>
      </c>
      <c r="T108" s="916">
        <v>24</v>
      </c>
      <c r="U108" s="144">
        <v>44406</v>
      </c>
      <c r="V108" s="916"/>
      <c r="W108" s="916"/>
      <c r="X108" s="916">
        <v>51.52</v>
      </c>
      <c r="Y108" s="916" t="s">
        <v>1118</v>
      </c>
      <c r="Z108" s="916"/>
      <c r="AA108" s="916"/>
      <c r="AB108" s="916"/>
      <c r="AC108" s="916"/>
      <c r="AD108" s="916"/>
      <c r="AE108" s="916"/>
      <c r="AF108" s="916"/>
      <c r="AG108" s="916"/>
      <c r="AH108" s="916"/>
      <c r="AI108" s="916"/>
      <c r="AJ108" s="916"/>
      <c r="AK108" s="916"/>
    </row>
    <row r="109" spans="1:37" hidden="1">
      <c r="A109" s="673"/>
      <c r="B109" s="928"/>
      <c r="C109" s="1024" t="s">
        <v>2494</v>
      </c>
      <c r="D109" s="1024" t="s">
        <v>2504</v>
      </c>
      <c r="E109" s="916"/>
      <c r="F109" s="1025" t="s">
        <v>54</v>
      </c>
      <c r="G109" s="1025" t="s">
        <v>5</v>
      </c>
      <c r="H109" s="1025" t="s">
        <v>505</v>
      </c>
      <c r="I109" s="1025" t="s">
        <v>7</v>
      </c>
      <c r="J109" s="1024">
        <v>-6.1301350000000001</v>
      </c>
      <c r="K109" s="1024">
        <v>106.79772</v>
      </c>
      <c r="L109" s="1025">
        <v>25</v>
      </c>
      <c r="M109" s="1025">
        <v>25</v>
      </c>
      <c r="N109" s="916"/>
      <c r="O109" s="916"/>
      <c r="P109" s="916" t="s">
        <v>316</v>
      </c>
      <c r="Q109" s="916">
        <v>106.79785</v>
      </c>
      <c r="R109" s="916">
        <v>-6.1300499999999998</v>
      </c>
      <c r="S109" s="916">
        <v>32</v>
      </c>
      <c r="T109" s="916">
        <v>25</v>
      </c>
      <c r="U109" s="144">
        <v>44390</v>
      </c>
      <c r="V109" s="916"/>
      <c r="W109" s="916"/>
      <c r="X109" s="916">
        <v>17.02</v>
      </c>
      <c r="Y109" s="916" t="s">
        <v>2538</v>
      </c>
      <c r="Z109" s="916"/>
      <c r="AA109" s="916"/>
      <c r="AB109" s="916"/>
      <c r="AC109" s="916"/>
      <c r="AD109" s="916"/>
      <c r="AE109" s="916"/>
      <c r="AF109" s="916"/>
      <c r="AG109" s="916"/>
      <c r="AH109" s="916"/>
      <c r="AI109" s="916"/>
      <c r="AJ109" s="916"/>
      <c r="AK109" s="916"/>
    </row>
    <row r="110" spans="1:37" hidden="1">
      <c r="A110" s="673"/>
      <c r="B110" s="928"/>
      <c r="C110" s="1024"/>
      <c r="D110" s="1024"/>
      <c r="E110" s="916"/>
      <c r="F110" s="1025"/>
      <c r="G110" s="1025"/>
      <c r="H110" s="1025"/>
      <c r="I110" s="1025"/>
      <c r="J110" s="1024"/>
      <c r="K110" s="1024"/>
      <c r="L110" s="1025"/>
      <c r="M110" s="1025"/>
      <c r="N110" s="916"/>
      <c r="O110" s="916"/>
      <c r="P110" s="916" t="s">
        <v>314</v>
      </c>
      <c r="Q110" s="916">
        <v>106.79819000000001</v>
      </c>
      <c r="R110" s="916">
        <v>-6.1299299999999999</v>
      </c>
      <c r="S110" s="916">
        <v>25</v>
      </c>
      <c r="T110" s="916">
        <v>24</v>
      </c>
      <c r="U110" s="144">
        <v>44406</v>
      </c>
      <c r="V110" s="916"/>
      <c r="W110" s="916"/>
      <c r="X110" s="916">
        <v>56</v>
      </c>
      <c r="Y110" s="916" t="s">
        <v>1118</v>
      </c>
      <c r="Z110" s="916"/>
      <c r="AA110" s="916"/>
      <c r="AB110" s="916"/>
      <c r="AC110" s="916"/>
      <c r="AD110" s="916"/>
      <c r="AE110" s="916"/>
      <c r="AF110" s="916"/>
      <c r="AG110" s="916"/>
      <c r="AH110" s="916"/>
      <c r="AI110" s="916"/>
      <c r="AJ110" s="916"/>
      <c r="AK110" s="916"/>
    </row>
    <row r="111" spans="1:37" hidden="1">
      <c r="A111" s="673"/>
      <c r="B111" s="928"/>
      <c r="C111" s="916" t="s">
        <v>2554</v>
      </c>
      <c r="D111" s="916" t="s">
        <v>2555</v>
      </c>
      <c r="E111" s="916"/>
      <c r="F111" s="916" t="s">
        <v>54</v>
      </c>
      <c r="G111" s="916" t="s">
        <v>11</v>
      </c>
      <c r="H111" s="916" t="s">
        <v>763</v>
      </c>
      <c r="I111" s="916" t="s">
        <v>13</v>
      </c>
      <c r="J111" s="918" t="s">
        <v>2557</v>
      </c>
      <c r="K111" s="918" t="s">
        <v>2558</v>
      </c>
      <c r="L111" s="916">
        <v>42</v>
      </c>
      <c r="M111" s="916">
        <v>35</v>
      </c>
      <c r="N111" s="916"/>
      <c r="O111" s="916"/>
      <c r="P111" s="916" t="s">
        <v>316</v>
      </c>
      <c r="Q111" s="916">
        <v>107.35026000000001</v>
      </c>
      <c r="R111" s="916">
        <v>-6.3149600000000001</v>
      </c>
      <c r="S111" s="916">
        <v>42</v>
      </c>
      <c r="T111" s="916">
        <v>35</v>
      </c>
      <c r="U111" s="144">
        <v>44393</v>
      </c>
      <c r="V111" s="916"/>
      <c r="W111" s="916"/>
      <c r="X111" s="916">
        <v>114.85</v>
      </c>
      <c r="Y111" s="916" t="s">
        <v>319</v>
      </c>
      <c r="Z111" s="916"/>
      <c r="AA111" s="916"/>
      <c r="AB111" s="916"/>
      <c r="AC111" s="916"/>
      <c r="AD111" s="916"/>
      <c r="AE111" s="916"/>
      <c r="AF111" s="916"/>
      <c r="AG111" s="916"/>
      <c r="AH111" s="916"/>
      <c r="AI111" s="916"/>
      <c r="AJ111" s="916"/>
      <c r="AK111" s="916"/>
    </row>
    <row r="112" spans="1:37" hidden="1">
      <c r="A112" s="673"/>
      <c r="B112" s="928"/>
      <c r="C112" s="1025" t="s">
        <v>2560</v>
      </c>
      <c r="D112" s="1025" t="s">
        <v>2561</v>
      </c>
      <c r="E112" s="916"/>
      <c r="F112" s="1025" t="s">
        <v>54</v>
      </c>
      <c r="G112" s="1025" t="s">
        <v>11</v>
      </c>
      <c r="H112" s="1025" t="s">
        <v>26</v>
      </c>
      <c r="I112" s="1025" t="s">
        <v>13</v>
      </c>
      <c r="J112" s="1027" t="s">
        <v>2563</v>
      </c>
      <c r="K112" s="1027" t="s">
        <v>2564</v>
      </c>
      <c r="L112" s="1025">
        <v>42</v>
      </c>
      <c r="M112" s="1025">
        <v>35</v>
      </c>
      <c r="N112" s="916"/>
      <c r="O112" s="916"/>
      <c r="P112" s="916" t="s">
        <v>316</v>
      </c>
      <c r="Q112" s="916">
        <v>106.82173</v>
      </c>
      <c r="R112" s="916">
        <v>-6.5428499999999996</v>
      </c>
      <c r="S112" s="916">
        <v>42</v>
      </c>
      <c r="T112" s="916">
        <v>35</v>
      </c>
      <c r="U112" s="144">
        <v>44393</v>
      </c>
      <c r="V112" s="916"/>
      <c r="W112" s="916"/>
      <c r="X112" s="916">
        <v>101.16</v>
      </c>
      <c r="Y112" s="916" t="s">
        <v>319</v>
      </c>
      <c r="Z112" s="916"/>
      <c r="AA112" s="916"/>
      <c r="AB112" s="916"/>
      <c r="AC112" s="916"/>
      <c r="AD112" s="916"/>
      <c r="AE112" s="916" t="s">
        <v>2077</v>
      </c>
      <c r="AF112" s="916"/>
      <c r="AG112" s="916"/>
      <c r="AH112" s="916"/>
      <c r="AI112" s="916"/>
      <c r="AJ112" s="916"/>
      <c r="AK112" s="916"/>
    </row>
    <row r="113" spans="1:37" hidden="1">
      <c r="A113" s="673"/>
      <c r="B113" s="928"/>
      <c r="C113" s="1025"/>
      <c r="D113" s="1025"/>
      <c r="E113" s="916"/>
      <c r="F113" s="1025"/>
      <c r="G113" s="1025"/>
      <c r="H113" s="1025"/>
      <c r="I113" s="1025"/>
      <c r="J113" s="1027"/>
      <c r="K113" s="1027"/>
      <c r="L113" s="1025"/>
      <c r="M113" s="1025"/>
      <c r="N113" s="916"/>
      <c r="O113" s="916"/>
      <c r="P113" s="916" t="s">
        <v>314</v>
      </c>
      <c r="Q113" s="916">
        <v>106.81973000000001</v>
      </c>
      <c r="R113" s="916">
        <v>-6.5426599999999997</v>
      </c>
      <c r="S113" s="916">
        <v>42</v>
      </c>
      <c r="T113" s="916">
        <v>35</v>
      </c>
      <c r="U113" s="144">
        <v>44393</v>
      </c>
      <c r="V113" s="916"/>
      <c r="W113" s="916"/>
      <c r="X113" s="916">
        <v>122.65</v>
      </c>
      <c r="Y113" s="916" t="s">
        <v>319</v>
      </c>
      <c r="Z113" s="916"/>
      <c r="AA113" s="916"/>
      <c r="AB113" s="916"/>
      <c r="AC113" s="916"/>
      <c r="AD113" s="916"/>
      <c r="AE113" s="916" t="s">
        <v>1030</v>
      </c>
      <c r="AF113" s="916"/>
      <c r="AG113" s="916"/>
      <c r="AH113" s="916"/>
      <c r="AI113" s="916"/>
      <c r="AJ113" s="916"/>
      <c r="AK113" s="916"/>
    </row>
    <row r="114" spans="1:37" hidden="1">
      <c r="A114" s="784"/>
      <c r="B114" s="928"/>
      <c r="C114" s="1025"/>
      <c r="D114" s="1025"/>
      <c r="E114" s="916"/>
      <c r="F114" s="1025"/>
      <c r="G114" s="1025"/>
      <c r="H114" s="1025"/>
      <c r="I114" s="1025"/>
      <c r="J114" s="1027"/>
      <c r="K114" s="1027"/>
      <c r="L114" s="1025"/>
      <c r="M114" s="1025"/>
      <c r="N114" s="916"/>
      <c r="O114" s="916"/>
      <c r="P114" s="916" t="s">
        <v>179</v>
      </c>
      <c r="Q114" s="916">
        <v>106.82252</v>
      </c>
      <c r="R114" s="916">
        <v>-6.5433300000000001</v>
      </c>
      <c r="S114" s="916">
        <v>42</v>
      </c>
      <c r="T114" s="916">
        <v>40</v>
      </c>
      <c r="U114" s="144">
        <v>44411</v>
      </c>
      <c r="V114" s="916"/>
      <c r="W114" s="916"/>
      <c r="X114" s="916">
        <v>201</v>
      </c>
      <c r="Y114" s="916" t="s">
        <v>319</v>
      </c>
      <c r="Z114" s="916"/>
      <c r="AA114" s="916"/>
      <c r="AB114" s="916"/>
      <c r="AC114" s="916"/>
      <c r="AD114" s="916"/>
      <c r="AE114" s="916"/>
      <c r="AF114" s="916"/>
      <c r="AG114" s="916"/>
      <c r="AH114" s="916"/>
      <c r="AI114" s="916"/>
      <c r="AJ114" s="916"/>
      <c r="AK114" s="916"/>
    </row>
    <row r="115" spans="1:37" hidden="1">
      <c r="A115" s="673"/>
      <c r="B115" s="928"/>
      <c r="C115" s="1025"/>
      <c r="D115" s="1025"/>
      <c r="E115" s="916"/>
      <c r="F115" s="1025"/>
      <c r="G115" s="1025"/>
      <c r="H115" s="1025"/>
      <c r="I115" s="1025"/>
      <c r="J115" s="1027"/>
      <c r="K115" s="1027"/>
      <c r="L115" s="1025"/>
      <c r="M115" s="1025"/>
      <c r="N115" s="916"/>
      <c r="O115" s="916"/>
      <c r="P115" s="916" t="s">
        <v>178</v>
      </c>
      <c r="Q115" s="916">
        <v>106.82201000000001</v>
      </c>
      <c r="R115" s="916">
        <v>-6.5419600000000004</v>
      </c>
      <c r="S115" s="916">
        <v>42</v>
      </c>
      <c r="T115" s="916">
        <v>40</v>
      </c>
      <c r="U115" s="144">
        <v>44472</v>
      </c>
      <c r="V115" s="916"/>
      <c r="W115" s="916"/>
      <c r="X115" s="916">
        <v>149</v>
      </c>
      <c r="Y115" s="916" t="s">
        <v>319</v>
      </c>
      <c r="Z115" s="916"/>
      <c r="AA115" s="916"/>
      <c r="AB115" s="916"/>
      <c r="AC115" s="916"/>
      <c r="AD115" s="916"/>
      <c r="AE115" s="916"/>
      <c r="AF115" s="916"/>
      <c r="AG115" s="916"/>
      <c r="AH115" s="916"/>
      <c r="AI115" s="916"/>
      <c r="AJ115" s="916"/>
      <c r="AK115" s="916"/>
    </row>
    <row r="116" spans="1:37" hidden="1">
      <c r="A116" s="673"/>
      <c r="B116" s="928"/>
      <c r="C116" s="1024" t="s">
        <v>2496</v>
      </c>
      <c r="D116" s="1024" t="s">
        <v>2506</v>
      </c>
      <c r="E116" s="916"/>
      <c r="F116" s="1025" t="s">
        <v>54</v>
      </c>
      <c r="G116" s="1025" t="s">
        <v>5</v>
      </c>
      <c r="H116" s="1025" t="s">
        <v>505</v>
      </c>
      <c r="I116" s="1025" t="s">
        <v>7</v>
      </c>
      <c r="J116" s="1024">
        <v>-6.1343959999999997</v>
      </c>
      <c r="K116" s="1024">
        <v>106.745604</v>
      </c>
      <c r="L116" s="1025">
        <v>25</v>
      </c>
      <c r="M116" s="1025">
        <v>25</v>
      </c>
      <c r="N116" s="916"/>
      <c r="O116" s="916"/>
      <c r="P116" s="916" t="s">
        <v>316</v>
      </c>
      <c r="Q116" s="916">
        <v>106.74486</v>
      </c>
      <c r="R116" s="916">
        <v>-6.13401</v>
      </c>
      <c r="S116" s="916"/>
      <c r="T116" s="916"/>
      <c r="U116" s="144"/>
      <c r="V116" s="916"/>
      <c r="W116" s="916"/>
      <c r="X116" s="916"/>
      <c r="Y116" s="916"/>
      <c r="Z116" s="916"/>
      <c r="AA116" s="916"/>
      <c r="AB116" s="916"/>
      <c r="AC116" s="916"/>
      <c r="AD116" s="916"/>
      <c r="AE116" s="916"/>
      <c r="AF116" s="916"/>
      <c r="AG116" s="916"/>
      <c r="AH116" s="916"/>
      <c r="AI116" s="916"/>
      <c r="AJ116" s="916"/>
      <c r="AK116" s="916"/>
    </row>
    <row r="117" spans="1:37" hidden="1">
      <c r="A117" s="673"/>
      <c r="B117" s="928"/>
      <c r="C117" s="1024"/>
      <c r="D117" s="1024"/>
      <c r="E117" s="916"/>
      <c r="F117" s="1025"/>
      <c r="G117" s="1025"/>
      <c r="H117" s="1025"/>
      <c r="I117" s="1025"/>
      <c r="J117" s="1024"/>
      <c r="K117" s="1024"/>
      <c r="L117" s="1025"/>
      <c r="M117" s="1025"/>
      <c r="N117" s="916"/>
      <c r="O117" s="916"/>
      <c r="P117" s="916" t="s">
        <v>314</v>
      </c>
      <c r="Q117" s="916">
        <v>106.7461</v>
      </c>
      <c r="R117" s="916">
        <v>-6.1337999999999999</v>
      </c>
      <c r="S117" s="916"/>
      <c r="T117" s="916"/>
      <c r="U117" s="144"/>
      <c r="V117" s="916"/>
      <c r="W117" s="916"/>
      <c r="X117" s="916"/>
      <c r="Y117" s="916"/>
      <c r="Z117" s="916"/>
      <c r="AA117" s="916"/>
      <c r="AB117" s="916"/>
      <c r="AC117" s="916"/>
      <c r="AD117" s="916"/>
      <c r="AE117" s="916"/>
      <c r="AF117" s="916"/>
      <c r="AG117" s="916"/>
      <c r="AH117" s="916"/>
      <c r="AI117" s="916"/>
      <c r="AJ117" s="916"/>
      <c r="AK117" s="916"/>
    </row>
    <row r="118" spans="1:37" hidden="1">
      <c r="A118" s="673"/>
      <c r="B118" s="928"/>
      <c r="C118" s="1024" t="s">
        <v>2491</v>
      </c>
      <c r="D118" s="1024" t="s">
        <v>2501</v>
      </c>
      <c r="E118" s="916"/>
      <c r="F118" s="1025" t="s">
        <v>54</v>
      </c>
      <c r="G118" s="1025" t="s">
        <v>5</v>
      </c>
      <c r="H118" s="1025" t="s">
        <v>505</v>
      </c>
      <c r="I118" s="1025" t="s">
        <v>7</v>
      </c>
      <c r="J118" s="1024">
        <v>-6.1410999999999998</v>
      </c>
      <c r="K118" s="1024">
        <v>106.76849</v>
      </c>
      <c r="L118" s="1025">
        <v>25</v>
      </c>
      <c r="M118" s="1025">
        <v>25</v>
      </c>
      <c r="N118" s="916"/>
      <c r="O118" s="916"/>
      <c r="P118" s="916" t="s">
        <v>316</v>
      </c>
      <c r="Q118" s="916">
        <v>106.76886</v>
      </c>
      <c r="R118" s="916">
        <v>-6.1407400000000001</v>
      </c>
      <c r="S118" s="916">
        <v>25</v>
      </c>
      <c r="T118" s="916">
        <v>24</v>
      </c>
      <c r="U118" s="144">
        <v>44400</v>
      </c>
      <c r="V118" s="916"/>
      <c r="W118" s="916"/>
      <c r="X118" s="916">
        <v>57.28</v>
      </c>
      <c r="Y118" s="916" t="s">
        <v>1118</v>
      </c>
      <c r="Z118" s="916"/>
      <c r="AA118" s="916"/>
      <c r="AB118" s="916"/>
      <c r="AC118" s="916"/>
      <c r="AD118" s="916"/>
      <c r="AE118" s="916" t="s">
        <v>2342</v>
      </c>
      <c r="AF118" s="916" t="s">
        <v>2958</v>
      </c>
      <c r="AG118" s="916"/>
      <c r="AH118" s="916"/>
      <c r="AI118" s="916"/>
      <c r="AJ118" s="916"/>
      <c r="AK118" s="916"/>
    </row>
    <row r="119" spans="1:37" hidden="1">
      <c r="A119" s="673"/>
      <c r="B119" s="928"/>
      <c r="C119" s="1024"/>
      <c r="D119" s="1024"/>
      <c r="E119" s="916"/>
      <c r="F119" s="1025"/>
      <c r="G119" s="1025"/>
      <c r="H119" s="1025"/>
      <c r="I119" s="1025"/>
      <c r="J119" s="1024"/>
      <c r="K119" s="1024"/>
      <c r="L119" s="1025"/>
      <c r="M119" s="1025"/>
      <c r="N119" s="916"/>
      <c r="O119" s="916"/>
      <c r="P119" s="916" t="s">
        <v>314</v>
      </c>
      <c r="Q119" s="916">
        <v>106.76849</v>
      </c>
      <c r="R119" s="916">
        <v>-6.1402999999999999</v>
      </c>
      <c r="S119" s="916"/>
      <c r="T119" s="916"/>
      <c r="U119" s="144"/>
      <c r="V119" s="916"/>
      <c r="W119" s="916"/>
      <c r="X119" s="916"/>
      <c r="Y119" s="916"/>
      <c r="Z119" s="916"/>
      <c r="AA119" s="916"/>
      <c r="AB119" s="916"/>
      <c r="AC119" s="916"/>
      <c r="AD119" s="916"/>
      <c r="AE119" s="916"/>
      <c r="AF119" s="916"/>
      <c r="AG119" s="916"/>
      <c r="AH119" s="916"/>
      <c r="AI119" s="916"/>
      <c r="AJ119" s="916"/>
      <c r="AK119" s="916"/>
    </row>
    <row r="120" spans="1:37" hidden="1">
      <c r="A120" s="673"/>
      <c r="B120" s="928"/>
      <c r="C120" s="916"/>
      <c r="D120" s="916" t="s">
        <v>2638</v>
      </c>
      <c r="E120" s="916"/>
      <c r="F120" s="916" t="s">
        <v>54</v>
      </c>
      <c r="G120" s="916" t="s">
        <v>5</v>
      </c>
      <c r="H120" s="916" t="s">
        <v>21</v>
      </c>
      <c r="I120" s="916" t="s">
        <v>20</v>
      </c>
      <c r="J120" s="916">
        <v>-6.1765800000000004</v>
      </c>
      <c r="K120" s="916">
        <v>106.6926</v>
      </c>
      <c r="L120" s="916">
        <v>32</v>
      </c>
      <c r="M120" s="916">
        <v>30</v>
      </c>
      <c r="N120" s="916"/>
      <c r="O120" s="916"/>
      <c r="P120" s="916" t="s">
        <v>316</v>
      </c>
      <c r="Q120" s="916">
        <v>106.69257</v>
      </c>
      <c r="R120" s="916">
        <v>-6.1767500000000002</v>
      </c>
      <c r="S120" s="916">
        <v>32</v>
      </c>
      <c r="T120" s="916">
        <v>30</v>
      </c>
      <c r="U120" s="144">
        <v>44440</v>
      </c>
      <c r="V120" s="916"/>
      <c r="W120" s="916"/>
      <c r="X120" s="916">
        <v>19.190000000000001</v>
      </c>
      <c r="Y120" s="916" t="s">
        <v>319</v>
      </c>
      <c r="Z120" s="916"/>
      <c r="AA120" s="916"/>
      <c r="AB120" s="916"/>
      <c r="AC120" s="916"/>
      <c r="AD120" s="916"/>
      <c r="AE120" s="916"/>
      <c r="AF120" s="916"/>
      <c r="AG120" s="916"/>
      <c r="AH120" s="916"/>
      <c r="AI120" s="916"/>
      <c r="AJ120" s="916"/>
      <c r="AK120" s="916"/>
    </row>
    <row r="121" spans="1:37" hidden="1">
      <c r="A121" s="673"/>
      <c r="B121" s="928"/>
      <c r="C121" s="931" t="s">
        <v>2891</v>
      </c>
      <c r="D121" s="931" t="s">
        <v>2890</v>
      </c>
      <c r="E121" s="916"/>
      <c r="F121" s="1025" t="s">
        <v>16</v>
      </c>
      <c r="G121" s="1025" t="s">
        <v>11</v>
      </c>
      <c r="H121" s="1025" t="s">
        <v>53</v>
      </c>
      <c r="I121" s="1025" t="s">
        <v>13</v>
      </c>
      <c r="J121" s="935" t="s">
        <v>2892</v>
      </c>
      <c r="K121" s="935" t="s">
        <v>3343</v>
      </c>
      <c r="L121" s="1025">
        <v>32</v>
      </c>
      <c r="M121" s="916"/>
      <c r="N121" s="916"/>
      <c r="O121" s="916"/>
      <c r="P121" s="916" t="s">
        <v>316</v>
      </c>
      <c r="Q121" s="916">
        <v>107.01244</v>
      </c>
      <c r="R121" s="916">
        <v>-6.17964</v>
      </c>
      <c r="S121" s="916">
        <v>32</v>
      </c>
      <c r="T121" s="916"/>
      <c r="U121" s="916"/>
      <c r="V121" s="916"/>
      <c r="W121" s="916"/>
      <c r="X121" s="916"/>
      <c r="Y121" s="916"/>
      <c r="Z121" s="916"/>
      <c r="AA121" s="916"/>
      <c r="AB121" s="916"/>
      <c r="AC121" s="916"/>
      <c r="AD121" s="916"/>
      <c r="AE121" s="916"/>
      <c r="AF121" s="916"/>
      <c r="AG121" s="916"/>
      <c r="AH121" s="916"/>
      <c r="AI121" s="916"/>
      <c r="AJ121" s="916"/>
      <c r="AK121" s="916"/>
    </row>
    <row r="122" spans="1:37" hidden="1">
      <c r="A122" s="903"/>
      <c r="B122" s="903"/>
      <c r="C122" s="931"/>
      <c r="D122" s="931"/>
      <c r="E122" s="916"/>
      <c r="F122" s="1025"/>
      <c r="G122" s="1025"/>
      <c r="H122" s="1025"/>
      <c r="I122" s="1025"/>
      <c r="J122" s="935"/>
      <c r="K122" s="935"/>
      <c r="L122" s="1025"/>
      <c r="M122" s="916"/>
      <c r="N122" s="916"/>
      <c r="O122" s="916"/>
      <c r="P122" s="916" t="s">
        <v>314</v>
      </c>
      <c r="Q122" s="916">
        <v>107.01398</v>
      </c>
      <c r="R122" s="916">
        <v>-6.1801700000000004</v>
      </c>
      <c r="S122" s="916">
        <v>32</v>
      </c>
      <c r="T122" s="916"/>
      <c r="U122" s="916"/>
      <c r="V122" s="916"/>
      <c r="W122" s="916"/>
      <c r="X122" s="916"/>
      <c r="Y122" s="916"/>
      <c r="Z122" s="916"/>
      <c r="AA122" s="916"/>
      <c r="AB122" s="916"/>
      <c r="AC122" s="916"/>
      <c r="AD122" s="916"/>
      <c r="AE122" s="916"/>
      <c r="AF122" s="916"/>
      <c r="AG122" s="916"/>
      <c r="AH122" s="916"/>
      <c r="AI122" s="916"/>
      <c r="AJ122" s="916"/>
      <c r="AK122" s="916"/>
    </row>
    <row r="123" spans="1:37">
      <c r="A123" s="923"/>
      <c r="B123" s="923"/>
      <c r="C123" s="931" t="s">
        <v>2891</v>
      </c>
      <c r="D123" s="931" t="s">
        <v>2890</v>
      </c>
      <c r="E123" s="924"/>
      <c r="F123" s="924" t="s">
        <v>16</v>
      </c>
      <c r="G123" s="924" t="s">
        <v>11</v>
      </c>
      <c r="H123" s="924" t="s">
        <v>53</v>
      </c>
      <c r="I123" s="924" t="s">
        <v>13</v>
      </c>
      <c r="J123" s="935" t="s">
        <v>2892</v>
      </c>
      <c r="K123" s="935" t="s">
        <v>3343</v>
      </c>
      <c r="L123" s="924">
        <v>32</v>
      </c>
      <c r="M123" s="924">
        <v>30</v>
      </c>
      <c r="N123" s="924"/>
      <c r="O123" s="924"/>
      <c r="P123" s="924" t="s">
        <v>179</v>
      </c>
      <c r="Q123" s="924">
        <v>107.01397</v>
      </c>
      <c r="R123" s="924">
        <v>-6.1790599999999998</v>
      </c>
      <c r="S123" s="924">
        <v>32</v>
      </c>
      <c r="T123" s="924"/>
      <c r="U123" s="924"/>
      <c r="V123" s="924"/>
      <c r="W123" s="924"/>
      <c r="X123" s="924" t="s">
        <v>3388</v>
      </c>
      <c r="Y123" s="924"/>
      <c r="Z123" s="924"/>
      <c r="AA123" s="924"/>
      <c r="AB123" s="924"/>
      <c r="AC123" s="924"/>
      <c r="AD123" s="924"/>
      <c r="AE123" s="924"/>
      <c r="AF123" s="924"/>
      <c r="AG123" s="924"/>
      <c r="AH123" s="924"/>
      <c r="AI123" s="924"/>
      <c r="AJ123" s="924"/>
      <c r="AK123" s="924"/>
    </row>
    <row r="124" spans="1:37" hidden="1">
      <c r="C124" s="916" t="s">
        <v>2900</v>
      </c>
      <c r="D124" s="916" t="s">
        <v>2901</v>
      </c>
      <c r="E124" s="916"/>
      <c r="F124" s="916" t="s">
        <v>54</v>
      </c>
      <c r="G124" s="916" t="s">
        <v>11</v>
      </c>
      <c r="H124" s="916" t="s">
        <v>26</v>
      </c>
      <c r="I124" s="916" t="s">
        <v>13</v>
      </c>
      <c r="J124" s="916">
        <v>-6.383769</v>
      </c>
      <c r="K124" s="916">
        <v>106.630629</v>
      </c>
      <c r="L124" s="916">
        <v>42</v>
      </c>
      <c r="M124" s="916"/>
      <c r="N124" s="916"/>
      <c r="O124" s="916"/>
      <c r="P124" s="916" t="s">
        <v>316</v>
      </c>
      <c r="Q124" s="916">
        <v>106.63531</v>
      </c>
      <c r="R124" s="916">
        <v>-6.3771800000000001</v>
      </c>
      <c r="S124" s="916">
        <v>42</v>
      </c>
      <c r="T124" s="916">
        <v>40.5</v>
      </c>
      <c r="U124" s="916"/>
      <c r="V124" s="916"/>
      <c r="W124" s="916"/>
      <c r="X124" s="916"/>
      <c r="Y124" s="916"/>
      <c r="Z124" s="916"/>
      <c r="AA124" s="916"/>
      <c r="AB124" s="930"/>
      <c r="AC124" s="916"/>
      <c r="AD124" s="916"/>
      <c r="AE124" s="916"/>
      <c r="AF124" s="916"/>
      <c r="AG124" s="916"/>
      <c r="AH124" s="916"/>
      <c r="AI124" s="916"/>
      <c r="AJ124" s="916"/>
      <c r="AK124" s="916"/>
    </row>
    <row r="125" spans="1:37" hidden="1">
      <c r="C125" s="916" t="s">
        <v>3363</v>
      </c>
      <c r="D125" s="916" t="s">
        <v>3364</v>
      </c>
      <c r="E125" s="916"/>
      <c r="F125" s="916" t="s">
        <v>54</v>
      </c>
      <c r="G125" s="916" t="s">
        <v>3386</v>
      </c>
      <c r="H125" s="916" t="s">
        <v>12</v>
      </c>
      <c r="I125" s="916" t="s">
        <v>13</v>
      </c>
      <c r="J125" s="931" t="s">
        <v>3375</v>
      </c>
      <c r="K125" s="931" t="s">
        <v>3376</v>
      </c>
      <c r="L125" s="916"/>
      <c r="M125" s="916">
        <v>47</v>
      </c>
      <c r="N125" s="916"/>
      <c r="O125" s="916"/>
      <c r="P125" s="916" t="s">
        <v>316</v>
      </c>
      <c r="Q125" s="916">
        <v>106.88467</v>
      </c>
      <c r="R125" s="916">
        <v>-6.85067</v>
      </c>
      <c r="S125" s="916">
        <v>52</v>
      </c>
      <c r="T125" s="916">
        <v>47</v>
      </c>
      <c r="U125" s="916"/>
      <c r="V125" s="916"/>
      <c r="W125" s="916"/>
      <c r="X125" s="916"/>
      <c r="Y125" s="916"/>
      <c r="Z125" s="916"/>
      <c r="AA125" s="916"/>
      <c r="AB125" s="930"/>
      <c r="AC125" s="916"/>
      <c r="AD125" s="916"/>
      <c r="AE125" s="916"/>
      <c r="AF125" s="916"/>
      <c r="AG125" s="916"/>
      <c r="AH125" s="916"/>
      <c r="AI125" s="916"/>
      <c r="AJ125" s="916"/>
      <c r="AK125" s="916"/>
    </row>
    <row r="126" spans="1:37" hidden="1">
      <c r="C126" s="916" t="s">
        <v>3366</v>
      </c>
      <c r="D126" s="916" t="s">
        <v>3367</v>
      </c>
      <c r="E126" s="916"/>
      <c r="F126" s="916" t="s">
        <v>54</v>
      </c>
      <c r="G126" s="916" t="s">
        <v>3387</v>
      </c>
      <c r="H126" s="916" t="s">
        <v>772</v>
      </c>
      <c r="I126" s="916" t="s">
        <v>20</v>
      </c>
      <c r="J126" s="931" t="s">
        <v>3378</v>
      </c>
      <c r="K126" s="931" t="s">
        <v>3379</v>
      </c>
      <c r="L126" s="916"/>
      <c r="M126" s="916">
        <v>54</v>
      </c>
      <c r="N126" s="916"/>
      <c r="O126" s="916"/>
      <c r="P126" s="916" t="s">
        <v>316</v>
      </c>
      <c r="Q126" s="916">
        <v>106.30466</v>
      </c>
      <c r="R126" s="916">
        <v>-6.0973899999999999</v>
      </c>
      <c r="S126" s="916">
        <v>62</v>
      </c>
      <c r="T126" s="916">
        <v>54</v>
      </c>
      <c r="U126" s="916"/>
      <c r="V126" s="916"/>
      <c r="W126" s="916"/>
      <c r="X126" s="916"/>
      <c r="Y126" s="916"/>
      <c r="Z126" s="916"/>
      <c r="AA126" s="916"/>
      <c r="AB126" s="930"/>
      <c r="AC126" s="916"/>
      <c r="AD126" s="916"/>
      <c r="AE126" s="916"/>
      <c r="AF126" s="916"/>
      <c r="AG126" s="916"/>
      <c r="AH126" s="916"/>
      <c r="AI126" s="916"/>
      <c r="AJ126" s="916"/>
      <c r="AK126" s="916"/>
    </row>
    <row r="127" spans="1:37" s="932" customFormat="1" hidden="1">
      <c r="A127" s="145"/>
      <c r="B127" s="145"/>
      <c r="C127" s="923" t="s">
        <v>3372</v>
      </c>
      <c r="D127" s="923" t="s">
        <v>3373</v>
      </c>
      <c r="E127" s="923"/>
      <c r="F127" s="916" t="s">
        <v>54</v>
      </c>
      <c r="G127" s="916" t="s">
        <v>3387</v>
      </c>
      <c r="H127" s="923" t="s">
        <v>26</v>
      </c>
      <c r="I127" s="916" t="s">
        <v>13</v>
      </c>
      <c r="J127" s="933" t="s">
        <v>3384</v>
      </c>
      <c r="K127" s="933" t="s">
        <v>3385</v>
      </c>
      <c r="L127" s="923"/>
      <c r="M127" s="923">
        <v>43</v>
      </c>
      <c r="N127" s="923"/>
      <c r="O127" s="923"/>
      <c r="P127" s="923" t="s">
        <v>316</v>
      </c>
      <c r="Q127" s="923">
        <v>106.67162</v>
      </c>
      <c r="R127" s="923">
        <v>-6.5808799999999996</v>
      </c>
      <c r="S127" s="923">
        <v>52</v>
      </c>
      <c r="T127" s="923">
        <v>50</v>
      </c>
      <c r="U127" s="923"/>
      <c r="V127" s="923"/>
      <c r="W127" s="923"/>
      <c r="X127" s="923"/>
      <c r="Y127" s="923"/>
      <c r="Z127" s="923"/>
      <c r="AA127" s="923"/>
      <c r="AB127" s="925"/>
      <c r="AC127" s="926"/>
      <c r="AD127" s="926"/>
      <c r="AE127" s="926"/>
      <c r="AF127" s="926"/>
      <c r="AG127" s="926"/>
      <c r="AH127" s="926"/>
      <c r="AI127" s="926"/>
      <c r="AJ127" s="926"/>
      <c r="AK127" s="926"/>
    </row>
  </sheetData>
  <autoFilter ref="A1:AK127" xr:uid="{00000000-0009-0000-0000-000003000000}">
    <filterColumn colId="3">
      <filters>
        <filter val="Pondok Ungu Permai Relocation"/>
      </filters>
    </filterColumn>
    <filterColumn colId="15">
      <filters>
        <filter val="C"/>
      </filters>
    </filterColumn>
  </autoFilter>
  <mergeCells count="396">
    <mergeCell ref="F121:F122"/>
    <mergeCell ref="G121:G122"/>
    <mergeCell ref="H121:H122"/>
    <mergeCell ref="I121:I122"/>
    <mergeCell ref="L121:L122"/>
    <mergeCell ref="M98:M100"/>
    <mergeCell ref="C98:C100"/>
    <mergeCell ref="D98:D100"/>
    <mergeCell ref="F98:F100"/>
    <mergeCell ref="G98:G100"/>
    <mergeCell ref="H98:H100"/>
    <mergeCell ref="I98:I100"/>
    <mergeCell ref="J98:J100"/>
    <mergeCell ref="K98:K100"/>
    <mergeCell ref="L98:L100"/>
    <mergeCell ref="M109:M110"/>
    <mergeCell ref="C109:C110"/>
    <mergeCell ref="D109:D110"/>
    <mergeCell ref="F109:F110"/>
    <mergeCell ref="G109:G110"/>
    <mergeCell ref="H109:H110"/>
    <mergeCell ref="I109:I110"/>
    <mergeCell ref="J109:J110"/>
    <mergeCell ref="K109:K110"/>
    <mergeCell ref="L109:L110"/>
    <mergeCell ref="AF89:AK90"/>
    <mergeCell ref="C87:C88"/>
    <mergeCell ref="D87:D88"/>
    <mergeCell ref="G87:G88"/>
    <mergeCell ref="F87:F88"/>
    <mergeCell ref="H87:H88"/>
    <mergeCell ref="I87:I88"/>
    <mergeCell ref="J87:J88"/>
    <mergeCell ref="K87:K88"/>
    <mergeCell ref="L87:L88"/>
    <mergeCell ref="M87:M88"/>
    <mergeCell ref="C89:C93"/>
    <mergeCell ref="D89:D93"/>
    <mergeCell ref="C106:C108"/>
    <mergeCell ref="F106:F108"/>
    <mergeCell ref="G106:G108"/>
    <mergeCell ref="H106:H108"/>
    <mergeCell ref="I106:I108"/>
    <mergeCell ref="M106:M108"/>
    <mergeCell ref="L106:L108"/>
    <mergeCell ref="K106:K108"/>
    <mergeCell ref="J106:J108"/>
    <mergeCell ref="D106:D108"/>
    <mergeCell ref="K118:K119"/>
    <mergeCell ref="L118:L119"/>
    <mergeCell ref="M118:M119"/>
    <mergeCell ref="D116:D117"/>
    <mergeCell ref="C116:C117"/>
    <mergeCell ref="C118:C119"/>
    <mergeCell ref="D118:D119"/>
    <mergeCell ref="F118:F119"/>
    <mergeCell ref="G118:G119"/>
    <mergeCell ref="H118:H119"/>
    <mergeCell ref="I118:I119"/>
    <mergeCell ref="J118:J119"/>
    <mergeCell ref="M112:M115"/>
    <mergeCell ref="M116:M117"/>
    <mergeCell ref="L116:L117"/>
    <mergeCell ref="K116:K117"/>
    <mergeCell ref="J116:J117"/>
    <mergeCell ref="I116:I117"/>
    <mergeCell ref="H116:H117"/>
    <mergeCell ref="G116:G117"/>
    <mergeCell ref="F116:F117"/>
    <mergeCell ref="C112:C115"/>
    <mergeCell ref="D112:D115"/>
    <mergeCell ref="F112:F115"/>
    <mergeCell ref="G112:G115"/>
    <mergeCell ref="H112:H115"/>
    <mergeCell ref="I112:I115"/>
    <mergeCell ref="J112:J115"/>
    <mergeCell ref="K112:K115"/>
    <mergeCell ref="L112:L115"/>
    <mergeCell ref="O83:O86"/>
    <mergeCell ref="N83:N86"/>
    <mergeCell ref="M83:M86"/>
    <mergeCell ref="L83:L86"/>
    <mergeCell ref="K83:K86"/>
    <mergeCell ref="F89:F93"/>
    <mergeCell ref="G89:G93"/>
    <mergeCell ref="H89:H93"/>
    <mergeCell ref="I89:I93"/>
    <mergeCell ref="J89:J93"/>
    <mergeCell ref="K89:K93"/>
    <mergeCell ref="L89:L93"/>
    <mergeCell ref="M89:M93"/>
    <mergeCell ref="C83:C86"/>
    <mergeCell ref="D83:D86"/>
    <mergeCell ref="J83:J86"/>
    <mergeCell ref="I83:I86"/>
    <mergeCell ref="H83:H86"/>
    <mergeCell ref="G83:G86"/>
    <mergeCell ref="F83:F86"/>
    <mergeCell ref="F64:F65"/>
    <mergeCell ref="G64:G65"/>
    <mergeCell ref="H64:H65"/>
    <mergeCell ref="I64:I65"/>
    <mergeCell ref="J64:J65"/>
    <mergeCell ref="C77:C79"/>
    <mergeCell ref="D77:D79"/>
    <mergeCell ref="E77:E79"/>
    <mergeCell ref="F77:F79"/>
    <mergeCell ref="G77:G79"/>
    <mergeCell ref="H77:H79"/>
    <mergeCell ref="I74:I76"/>
    <mergeCell ref="J74:J76"/>
    <mergeCell ref="F66:F70"/>
    <mergeCell ref="H66:H70"/>
    <mergeCell ref="G66:G70"/>
    <mergeCell ref="E66:E70"/>
    <mergeCell ref="K64:K65"/>
    <mergeCell ref="C13:C16"/>
    <mergeCell ref="D13:D16"/>
    <mergeCell ref="E13:E16"/>
    <mergeCell ref="J43:J44"/>
    <mergeCell ref="K43:K44"/>
    <mergeCell ref="C26:C30"/>
    <mergeCell ref="J26:J30"/>
    <mergeCell ref="I26:I30"/>
    <mergeCell ref="H26:H30"/>
    <mergeCell ref="H45:H49"/>
    <mergeCell ref="H43:H44"/>
    <mergeCell ref="K31:K34"/>
    <mergeCell ref="J19:J25"/>
    <mergeCell ref="M13:M15"/>
    <mergeCell ref="F13:F15"/>
    <mergeCell ref="G13:G15"/>
    <mergeCell ref="H13:H15"/>
    <mergeCell ref="I13:I15"/>
    <mergeCell ref="I17:I18"/>
    <mergeCell ref="L13:L15"/>
    <mergeCell ref="N13:N15"/>
    <mergeCell ref="O13:O15"/>
    <mergeCell ref="O17:O18"/>
    <mergeCell ref="J17:J18"/>
    <mergeCell ref="K17:K18"/>
    <mergeCell ref="J13:J15"/>
    <mergeCell ref="K13:K15"/>
    <mergeCell ref="N17:N18"/>
    <mergeCell ref="M17:M18"/>
    <mergeCell ref="O26:O30"/>
    <mergeCell ref="N26:N30"/>
    <mergeCell ref="M26:M30"/>
    <mergeCell ref="L26:L30"/>
    <mergeCell ref="K26:K30"/>
    <mergeCell ref="K19:K25"/>
    <mergeCell ref="L19:L25"/>
    <mergeCell ref="M19:M25"/>
    <mergeCell ref="N19:N25"/>
    <mergeCell ref="O19:O25"/>
    <mergeCell ref="L77:L79"/>
    <mergeCell ref="M77:M79"/>
    <mergeCell ref="N77:N79"/>
    <mergeCell ref="O77:O79"/>
    <mergeCell ref="J58:J59"/>
    <mergeCell ref="K58:K59"/>
    <mergeCell ref="J53:J57"/>
    <mergeCell ref="K53:K57"/>
    <mergeCell ref="O53:O57"/>
    <mergeCell ref="O62:O63"/>
    <mergeCell ref="N62:N63"/>
    <mergeCell ref="L74:L76"/>
    <mergeCell ref="M74:M76"/>
    <mergeCell ref="N74:N76"/>
    <mergeCell ref="O74:O76"/>
    <mergeCell ref="O58:O59"/>
    <mergeCell ref="L64:L65"/>
    <mergeCell ref="M64:M65"/>
    <mergeCell ref="N64:N65"/>
    <mergeCell ref="O64:O65"/>
    <mergeCell ref="L53:L57"/>
    <mergeCell ref="M53:M57"/>
    <mergeCell ref="N53:N57"/>
    <mergeCell ref="L62:L63"/>
    <mergeCell ref="M62:M63"/>
    <mergeCell ref="L58:L59"/>
    <mergeCell ref="M58:M59"/>
    <mergeCell ref="N58:N59"/>
    <mergeCell ref="H62:H63"/>
    <mergeCell ref="I62:I63"/>
    <mergeCell ref="J62:J63"/>
    <mergeCell ref="K62:K63"/>
    <mergeCell ref="H58:H59"/>
    <mergeCell ref="I58:I59"/>
    <mergeCell ref="O66:O70"/>
    <mergeCell ref="N66:N70"/>
    <mergeCell ref="M66:M70"/>
    <mergeCell ref="L66:L70"/>
    <mergeCell ref="K66:K70"/>
    <mergeCell ref="J66:J70"/>
    <mergeCell ref="I66:I70"/>
    <mergeCell ref="A43:A44"/>
    <mergeCell ref="O51:O52"/>
    <mergeCell ref="A53:A55"/>
    <mergeCell ref="B53:B55"/>
    <mergeCell ref="C53:C57"/>
    <mergeCell ref="D53:D57"/>
    <mergeCell ref="E53:E57"/>
    <mergeCell ref="F53:F57"/>
    <mergeCell ref="G53:G57"/>
    <mergeCell ref="H53:H57"/>
    <mergeCell ref="I53:I57"/>
    <mergeCell ref="I51:I52"/>
    <mergeCell ref="J51:J52"/>
    <mergeCell ref="K51:K52"/>
    <mergeCell ref="L51:L52"/>
    <mergeCell ref="M51:M52"/>
    <mergeCell ref="N51:N52"/>
    <mergeCell ref="A51:A52"/>
    <mergeCell ref="B51:B52"/>
    <mergeCell ref="C51:C52"/>
    <mergeCell ref="D51:D52"/>
    <mergeCell ref="E51:E52"/>
    <mergeCell ref="F51:F52"/>
    <mergeCell ref="G51:G52"/>
    <mergeCell ref="A41:A42"/>
    <mergeCell ref="B41:B42"/>
    <mergeCell ref="C41:C42"/>
    <mergeCell ref="F41:F42"/>
    <mergeCell ref="F43:F44"/>
    <mergeCell ref="D43:D44"/>
    <mergeCell ref="E43:E44"/>
    <mergeCell ref="G43:G44"/>
    <mergeCell ref="G45:G49"/>
    <mergeCell ref="B43:B44"/>
    <mergeCell ref="C43:C44"/>
    <mergeCell ref="L31:L34"/>
    <mergeCell ref="M31:M34"/>
    <mergeCell ref="L41:L42"/>
    <mergeCell ref="K41:K42"/>
    <mergeCell ref="J31:J34"/>
    <mergeCell ref="C31:C34"/>
    <mergeCell ref="D31:D34"/>
    <mergeCell ref="F31:F34"/>
    <mergeCell ref="G31:G34"/>
    <mergeCell ref="H31:H34"/>
    <mergeCell ref="I31:I34"/>
    <mergeCell ref="H35:H38"/>
    <mergeCell ref="G35:G38"/>
    <mergeCell ref="F35:F38"/>
    <mergeCell ref="A31:A33"/>
    <mergeCell ref="B31:B33"/>
    <mergeCell ref="E31:E33"/>
    <mergeCell ref="G26:G30"/>
    <mergeCell ref="F26:F30"/>
    <mergeCell ref="I41:I42"/>
    <mergeCell ref="J41:J42"/>
    <mergeCell ref="E35:E37"/>
    <mergeCell ref="D41:D42"/>
    <mergeCell ref="E41:E42"/>
    <mergeCell ref="G41:G42"/>
    <mergeCell ref="H41:H42"/>
    <mergeCell ref="E26:E30"/>
    <mergeCell ref="D26:D30"/>
    <mergeCell ref="D35:D38"/>
    <mergeCell ref="C35:C38"/>
    <mergeCell ref="A19:A21"/>
    <mergeCell ref="B19:B21"/>
    <mergeCell ref="E19:E22"/>
    <mergeCell ref="C19:C25"/>
    <mergeCell ref="D19:D25"/>
    <mergeCell ref="F19:F25"/>
    <mergeCell ref="G19:G25"/>
    <mergeCell ref="H19:H25"/>
    <mergeCell ref="I19:I25"/>
    <mergeCell ref="A17:A18"/>
    <mergeCell ref="B17:B18"/>
    <mergeCell ref="C17:C18"/>
    <mergeCell ref="D17:D18"/>
    <mergeCell ref="E17:E18"/>
    <mergeCell ref="F17:F18"/>
    <mergeCell ref="G17:G18"/>
    <mergeCell ref="H17:H18"/>
    <mergeCell ref="L17:L18"/>
    <mergeCell ref="M2:M9"/>
    <mergeCell ref="N2:N9"/>
    <mergeCell ref="I10:I12"/>
    <mergeCell ref="J10:J12"/>
    <mergeCell ref="K10:K12"/>
    <mergeCell ref="L10:L12"/>
    <mergeCell ref="M10:M12"/>
    <mergeCell ref="O2:O9"/>
    <mergeCell ref="I2:I9"/>
    <mergeCell ref="J2:J9"/>
    <mergeCell ref="K2:K9"/>
    <mergeCell ref="L2:L9"/>
    <mergeCell ref="N10:N12"/>
    <mergeCell ref="O10:O12"/>
    <mergeCell ref="A10:A12"/>
    <mergeCell ref="B10:B12"/>
    <mergeCell ref="C10:C12"/>
    <mergeCell ref="D10:D12"/>
    <mergeCell ref="E10:E12"/>
    <mergeCell ref="F10:F12"/>
    <mergeCell ref="G10:G12"/>
    <mergeCell ref="G2:G9"/>
    <mergeCell ref="H2:H9"/>
    <mergeCell ref="A2:A9"/>
    <mergeCell ref="B2:B9"/>
    <mergeCell ref="C2:C9"/>
    <mergeCell ref="D2:D9"/>
    <mergeCell ref="E2:E9"/>
    <mergeCell ref="F2:F9"/>
    <mergeCell ref="H10:H12"/>
    <mergeCell ref="L80:L82"/>
    <mergeCell ref="M80:M82"/>
    <mergeCell ref="N80:N82"/>
    <mergeCell ref="O80:O82"/>
    <mergeCell ref="C80:C82"/>
    <mergeCell ref="D80:D82"/>
    <mergeCell ref="E80:E82"/>
    <mergeCell ref="F80:F82"/>
    <mergeCell ref="G80:G82"/>
    <mergeCell ref="H80:H82"/>
    <mergeCell ref="I80:I82"/>
    <mergeCell ref="J80:J82"/>
    <mergeCell ref="K80:K82"/>
    <mergeCell ref="K74:K76"/>
    <mergeCell ref="I77:I79"/>
    <mergeCell ref="J77:J79"/>
    <mergeCell ref="K77:K79"/>
    <mergeCell ref="C74:C76"/>
    <mergeCell ref="D74:D76"/>
    <mergeCell ref="E74:E76"/>
    <mergeCell ref="F74:F76"/>
    <mergeCell ref="G74:G76"/>
    <mergeCell ref="H74:H76"/>
    <mergeCell ref="D66:D70"/>
    <mergeCell ref="C66:C70"/>
    <mergeCell ref="E45:E48"/>
    <mergeCell ref="C62:C63"/>
    <mergeCell ref="D62:D63"/>
    <mergeCell ref="E62:E63"/>
    <mergeCell ref="F62:F63"/>
    <mergeCell ref="G62:G63"/>
    <mergeCell ref="H51:H52"/>
    <mergeCell ref="F45:F49"/>
    <mergeCell ref="D45:D49"/>
    <mergeCell ref="C45:C49"/>
    <mergeCell ref="C58:C59"/>
    <mergeCell ref="D58:D59"/>
    <mergeCell ref="E58:E59"/>
    <mergeCell ref="F58:F59"/>
    <mergeCell ref="G58:G59"/>
    <mergeCell ref="C64:C65"/>
    <mergeCell ref="D64:D65"/>
    <mergeCell ref="E64:E65"/>
    <mergeCell ref="O41:O42"/>
    <mergeCell ref="O31:O34"/>
    <mergeCell ref="O45:O49"/>
    <mergeCell ref="N45:N49"/>
    <mergeCell ref="M45:M49"/>
    <mergeCell ref="L45:L49"/>
    <mergeCell ref="K45:K49"/>
    <mergeCell ref="J45:J49"/>
    <mergeCell ref="I45:I49"/>
    <mergeCell ref="O35:O38"/>
    <mergeCell ref="N35:N38"/>
    <mergeCell ref="M35:M38"/>
    <mergeCell ref="L35:L38"/>
    <mergeCell ref="K35:K38"/>
    <mergeCell ref="J35:J38"/>
    <mergeCell ref="I35:I38"/>
    <mergeCell ref="N43:N44"/>
    <mergeCell ref="O43:O44"/>
    <mergeCell ref="M41:M42"/>
    <mergeCell ref="N41:N42"/>
    <mergeCell ref="I43:I44"/>
    <mergeCell ref="L43:L44"/>
    <mergeCell ref="M43:M44"/>
    <mergeCell ref="N31:N34"/>
    <mergeCell ref="D103:D105"/>
    <mergeCell ref="C103:C105"/>
    <mergeCell ref="M101:M102"/>
    <mergeCell ref="M103:M105"/>
    <mergeCell ref="L103:L105"/>
    <mergeCell ref="K103:K105"/>
    <mergeCell ref="J103:J105"/>
    <mergeCell ref="I103:I105"/>
    <mergeCell ref="H103:H105"/>
    <mergeCell ref="G103:G105"/>
    <mergeCell ref="F103:F105"/>
    <mergeCell ref="C101:C102"/>
    <mergeCell ref="D101:D102"/>
    <mergeCell ref="F101:F102"/>
    <mergeCell ref="G101:G102"/>
    <mergeCell ref="H101:H102"/>
    <mergeCell ref="I101:I102"/>
    <mergeCell ref="J101:J102"/>
    <mergeCell ref="K101:K102"/>
    <mergeCell ref="L101:L102"/>
  </mergeCells>
  <conditionalFormatting sqref="C1">
    <cfRule type="duplicateValues" dxfId="187" priority="22"/>
  </conditionalFormatting>
  <conditionalFormatting sqref="C66 C73:C74 C77">
    <cfRule type="duplicateValues" dxfId="186" priority="19"/>
  </conditionalFormatting>
  <conditionalFormatting sqref="C2 C10 C17 C13 C19 C26 C35 C43 C45 C53 C58 C31 C39:C41 C62 C51">
    <cfRule type="duplicateValues" dxfId="185" priority="44"/>
  </conditionalFormatting>
  <conditionalFormatting sqref="C64">
    <cfRule type="duplicateValues" dxfId="184" priority="18"/>
  </conditionalFormatting>
  <conditionalFormatting sqref="D87">
    <cfRule type="duplicateValues" dxfId="183" priority="17"/>
  </conditionalFormatting>
  <conditionalFormatting sqref="D89:D92">
    <cfRule type="duplicateValues" dxfId="182" priority="16"/>
  </conditionalFormatting>
  <conditionalFormatting sqref="D94">
    <cfRule type="duplicateValues" dxfId="181" priority="15"/>
  </conditionalFormatting>
  <conditionalFormatting sqref="D95">
    <cfRule type="duplicateValues" dxfId="180" priority="14"/>
  </conditionalFormatting>
  <conditionalFormatting sqref="D97">
    <cfRule type="duplicateValues" dxfId="179" priority="13"/>
  </conditionalFormatting>
  <conditionalFormatting sqref="D98">
    <cfRule type="duplicateValues" dxfId="178" priority="12"/>
  </conditionalFormatting>
  <conditionalFormatting sqref="D101">
    <cfRule type="duplicateValues" dxfId="177" priority="11"/>
  </conditionalFormatting>
  <conditionalFormatting sqref="D103:D104">
    <cfRule type="duplicateValues" dxfId="176" priority="10"/>
  </conditionalFormatting>
  <conditionalFormatting sqref="D106:D107">
    <cfRule type="duplicateValues" dxfId="175" priority="9"/>
  </conditionalFormatting>
  <conditionalFormatting sqref="D109">
    <cfRule type="duplicateValues" dxfId="174" priority="8"/>
  </conditionalFormatting>
  <conditionalFormatting sqref="D111">
    <cfRule type="duplicateValues" dxfId="173" priority="7"/>
  </conditionalFormatting>
  <conditionalFormatting sqref="D112:D114">
    <cfRule type="duplicateValues" dxfId="172" priority="6"/>
  </conditionalFormatting>
  <conditionalFormatting sqref="D116">
    <cfRule type="duplicateValues" dxfId="171" priority="5"/>
  </conditionalFormatting>
  <conditionalFormatting sqref="D118">
    <cfRule type="duplicateValues" dxfId="170" priority="4"/>
  </conditionalFormatting>
  <conditionalFormatting sqref="D121">
    <cfRule type="duplicateValues" dxfId="169" priority="3"/>
  </conditionalFormatting>
  <conditionalFormatting sqref="D96">
    <cfRule type="duplicateValues" dxfId="168" priority="2"/>
  </conditionalFormatting>
  <conditionalFormatting sqref="D123">
    <cfRule type="duplicateValues" dxfId="167" priority="1"/>
  </conditionalFormatting>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Q12"/>
  <sheetViews>
    <sheetView workbookViewId="0">
      <selection activeCell="B16" sqref="B16"/>
    </sheetView>
  </sheetViews>
  <sheetFormatPr defaultRowHeight="15"/>
  <cols>
    <col min="1" max="1" width="16.7109375" customWidth="1"/>
    <col min="2" max="2" width="24.85546875" customWidth="1"/>
    <col min="3" max="3" width="14.5703125" hidden="1" customWidth="1"/>
    <col min="4" max="4" width="12" customWidth="1"/>
    <col min="5" max="5" width="14.140625" customWidth="1"/>
    <col min="6" max="6" width="13.42578125" hidden="1" customWidth="1"/>
    <col min="7" max="7" width="9.42578125" customWidth="1"/>
    <col min="8" max="8" width="11.140625" customWidth="1"/>
    <col min="9" max="9" width="9.5703125" customWidth="1"/>
    <col min="10" max="10" width="8" customWidth="1"/>
    <col min="11" max="11" width="15.7109375" hidden="1" customWidth="1"/>
    <col min="12" max="12" width="16.7109375" hidden="1" customWidth="1"/>
    <col min="13" max="13" width="12.28515625" customWidth="1"/>
    <col min="14" max="14" width="10.140625" customWidth="1"/>
    <col min="15" max="15" width="14.5703125" hidden="1" customWidth="1"/>
    <col min="16" max="16" width="13.7109375" hidden="1" customWidth="1"/>
    <col min="17" max="17" width="13.5703125" customWidth="1"/>
    <col min="18" max="18" width="14.5703125" customWidth="1"/>
    <col min="19" max="19" width="10.140625" bestFit="1" customWidth="1"/>
    <col min="21" max="21" width="10" bestFit="1" customWidth="1"/>
    <col min="22" max="22" width="16.85546875" customWidth="1"/>
    <col min="23" max="23" width="13.7109375" customWidth="1"/>
  </cols>
  <sheetData>
    <row r="1" spans="1:17" ht="39" thickBot="1">
      <c r="A1" s="840" t="s">
        <v>66</v>
      </c>
      <c r="B1" s="841" t="s">
        <v>1041</v>
      </c>
      <c r="C1" s="841" t="s">
        <v>1042</v>
      </c>
      <c r="D1" s="841" t="s">
        <v>1043</v>
      </c>
      <c r="E1" s="841" t="s">
        <v>80</v>
      </c>
      <c r="F1" s="841" t="s">
        <v>1044</v>
      </c>
      <c r="G1" s="841" t="s">
        <v>220</v>
      </c>
      <c r="H1" s="841" t="s">
        <v>1045</v>
      </c>
      <c r="I1" s="841" t="s">
        <v>1046</v>
      </c>
      <c r="J1" s="841" t="s">
        <v>1047</v>
      </c>
      <c r="K1" s="841" t="s">
        <v>1048</v>
      </c>
      <c r="L1" s="841" t="s">
        <v>1049</v>
      </c>
      <c r="M1" s="841" t="s">
        <v>1050</v>
      </c>
      <c r="N1" s="841" t="s">
        <v>1051</v>
      </c>
      <c r="O1" s="841" t="s">
        <v>1052</v>
      </c>
      <c r="P1" s="842" t="s">
        <v>1053</v>
      </c>
      <c r="Q1" s="843" t="s">
        <v>91</v>
      </c>
    </row>
    <row r="2" spans="1:17">
      <c r="A2" s="849" t="s">
        <v>926</v>
      </c>
      <c r="B2" s="849" t="s">
        <v>927</v>
      </c>
      <c r="C2" s="849" t="s">
        <v>1092</v>
      </c>
      <c r="D2" s="849" t="s">
        <v>7</v>
      </c>
      <c r="E2" s="849" t="s">
        <v>6</v>
      </c>
      <c r="F2" s="844">
        <v>20</v>
      </c>
      <c r="G2" s="844">
        <v>20</v>
      </c>
      <c r="H2" s="844">
        <v>106.715155</v>
      </c>
      <c r="I2" s="844">
        <v>-6.1007360000000004</v>
      </c>
      <c r="J2" s="845" t="s">
        <v>316</v>
      </c>
      <c r="K2" s="844" t="s">
        <v>1084</v>
      </c>
      <c r="L2" s="844" t="s">
        <v>1081</v>
      </c>
      <c r="M2" s="844">
        <v>106.71593</v>
      </c>
      <c r="N2" s="844">
        <v>-6.1020899999999996</v>
      </c>
      <c r="O2" s="844" t="s">
        <v>1089</v>
      </c>
      <c r="P2" s="844">
        <v>150.34</v>
      </c>
      <c r="Q2" s="850"/>
    </row>
    <row r="3" spans="1:17">
      <c r="A3" s="851" t="s">
        <v>926</v>
      </c>
      <c r="B3" s="851" t="s">
        <v>927</v>
      </c>
      <c r="C3" s="849" t="s">
        <v>1092</v>
      </c>
      <c r="D3" s="851" t="s">
        <v>7</v>
      </c>
      <c r="E3" s="851" t="s">
        <v>6</v>
      </c>
      <c r="F3" s="813">
        <v>20</v>
      </c>
      <c r="G3" s="813">
        <v>20</v>
      </c>
      <c r="H3" s="813">
        <v>106.715155</v>
      </c>
      <c r="I3" s="813">
        <v>-6.1007360000000004</v>
      </c>
      <c r="J3" s="813" t="s">
        <v>314</v>
      </c>
      <c r="K3" s="813" t="s">
        <v>1086</v>
      </c>
      <c r="L3" s="813" t="s">
        <v>1085</v>
      </c>
      <c r="M3" s="813">
        <v>106.7162</v>
      </c>
      <c r="N3" s="813">
        <v>-6.1028700000000002</v>
      </c>
      <c r="O3" s="813" t="s">
        <v>1090</v>
      </c>
      <c r="P3" s="813">
        <v>153.97999999999999</v>
      </c>
      <c r="Q3" s="850"/>
    </row>
    <row r="4" spans="1:17">
      <c r="A4" s="851" t="s">
        <v>926</v>
      </c>
      <c r="B4" s="851" t="s">
        <v>927</v>
      </c>
      <c r="C4" s="849" t="s">
        <v>1092</v>
      </c>
      <c r="D4" s="851" t="s">
        <v>7</v>
      </c>
      <c r="E4" s="851" t="s">
        <v>6</v>
      </c>
      <c r="F4" s="813">
        <v>20</v>
      </c>
      <c r="G4" s="813">
        <v>20</v>
      </c>
      <c r="H4" s="813">
        <v>106.715155</v>
      </c>
      <c r="I4" s="813">
        <v>-6.1007360000000004</v>
      </c>
      <c r="J4" s="813" t="s">
        <v>179</v>
      </c>
      <c r="K4" s="813" t="s">
        <v>1088</v>
      </c>
      <c r="L4" s="813" t="s">
        <v>1087</v>
      </c>
      <c r="M4" s="813">
        <v>106.71603</v>
      </c>
      <c r="N4" s="813">
        <v>-6.1071299999999997</v>
      </c>
      <c r="O4" s="813" t="s">
        <v>1091</v>
      </c>
      <c r="P4" s="813">
        <v>172.3</v>
      </c>
      <c r="Q4" s="850"/>
    </row>
    <row r="5" spans="1:17">
      <c r="A5" s="851" t="s">
        <v>926</v>
      </c>
      <c r="B5" s="851" t="s">
        <v>927</v>
      </c>
      <c r="C5" s="849" t="s">
        <v>1092</v>
      </c>
      <c r="D5" s="851" t="s">
        <v>7</v>
      </c>
      <c r="E5" s="851" t="s">
        <v>6</v>
      </c>
      <c r="F5" s="813">
        <v>20</v>
      </c>
      <c r="G5" s="813">
        <v>20</v>
      </c>
      <c r="H5" s="813">
        <v>106.715155</v>
      </c>
      <c r="I5" s="813">
        <v>-6.1007360000000004</v>
      </c>
      <c r="J5" s="813" t="s">
        <v>178</v>
      </c>
      <c r="K5" s="813" t="s">
        <v>1940</v>
      </c>
      <c r="L5" s="813" t="s">
        <v>1939</v>
      </c>
      <c r="M5" s="813">
        <v>106.71572</v>
      </c>
      <c r="N5" s="813">
        <v>-6.10168</v>
      </c>
      <c r="O5" s="813" t="s">
        <v>2094</v>
      </c>
      <c r="P5" s="813">
        <v>150.13</v>
      </c>
      <c r="Q5" s="850" t="s">
        <v>2096</v>
      </c>
    </row>
    <row r="6" spans="1:17">
      <c r="A6" s="852" t="s">
        <v>926</v>
      </c>
      <c r="B6" s="852" t="s">
        <v>927</v>
      </c>
      <c r="C6" s="853" t="s">
        <v>1092</v>
      </c>
      <c r="D6" s="852" t="s">
        <v>7</v>
      </c>
      <c r="E6" s="852" t="s">
        <v>6</v>
      </c>
      <c r="F6" s="846">
        <v>20</v>
      </c>
      <c r="G6" s="846">
        <v>20</v>
      </c>
      <c r="H6" s="846">
        <v>106.715155</v>
      </c>
      <c r="I6" s="846">
        <v>-6.1007360000000004</v>
      </c>
      <c r="J6" s="846" t="s">
        <v>323</v>
      </c>
      <c r="K6" s="846" t="s">
        <v>1942</v>
      </c>
      <c r="L6" s="846" t="s">
        <v>1941</v>
      </c>
      <c r="M6" s="846">
        <v>106.71559999999999</v>
      </c>
      <c r="N6" s="846">
        <v>-6.1014900000000001</v>
      </c>
      <c r="O6" s="846" t="s">
        <v>2095</v>
      </c>
      <c r="P6" s="846">
        <v>149.37</v>
      </c>
      <c r="Q6" s="850"/>
    </row>
    <row r="7" spans="1:17">
      <c r="A7" s="851" t="s">
        <v>138</v>
      </c>
      <c r="B7" s="851" t="s">
        <v>161</v>
      </c>
      <c r="C7" s="851"/>
      <c r="D7" s="854" t="s">
        <v>20</v>
      </c>
      <c r="E7" s="851" t="s">
        <v>1350</v>
      </c>
      <c r="F7" s="851"/>
      <c r="G7" s="847">
        <v>20</v>
      </c>
      <c r="H7" s="851"/>
      <c r="I7" s="851"/>
      <c r="J7" s="851"/>
      <c r="K7" s="851"/>
      <c r="L7" s="851"/>
      <c r="M7" s="847">
        <v>106.73016</v>
      </c>
      <c r="N7" s="847">
        <v>-6.2610400000000004</v>
      </c>
      <c r="O7" s="851"/>
      <c r="P7" s="851"/>
      <c r="Q7" s="851" t="s">
        <v>2096</v>
      </c>
    </row>
    <row r="8" spans="1:17">
      <c r="A8" s="852" t="s">
        <v>138</v>
      </c>
      <c r="B8" s="852" t="s">
        <v>161</v>
      </c>
      <c r="C8" s="850"/>
      <c r="D8" s="855" t="s">
        <v>20</v>
      </c>
      <c r="E8" s="852" t="s">
        <v>1350</v>
      </c>
      <c r="F8" s="850"/>
      <c r="G8" s="848">
        <v>20</v>
      </c>
      <c r="H8" s="850"/>
      <c r="I8" s="850"/>
      <c r="J8" s="850"/>
      <c r="K8" s="850"/>
      <c r="L8" s="850"/>
      <c r="M8" s="848">
        <v>106.73072000000001</v>
      </c>
      <c r="N8" s="848">
        <v>-6.2612100000000002</v>
      </c>
      <c r="O8" s="850"/>
      <c r="P8" s="850"/>
      <c r="Q8" s="851" t="s">
        <v>2096</v>
      </c>
    </row>
    <row r="9" spans="1:17">
      <c r="A9" s="851" t="s">
        <v>114</v>
      </c>
      <c r="B9" s="854" t="s">
        <v>31</v>
      </c>
      <c r="C9" s="851" t="s">
        <v>1092</v>
      </c>
      <c r="D9" s="851" t="s">
        <v>7</v>
      </c>
      <c r="E9" s="851" t="s">
        <v>6</v>
      </c>
      <c r="F9" s="847">
        <v>20</v>
      </c>
      <c r="G9" s="847">
        <v>20</v>
      </c>
      <c r="H9" s="847">
        <v>106.830387</v>
      </c>
      <c r="I9" s="847">
        <v>-6.1253130000000002</v>
      </c>
      <c r="J9" s="851"/>
      <c r="K9" s="813" t="s">
        <v>2177</v>
      </c>
      <c r="L9" s="813" t="s">
        <v>2176</v>
      </c>
      <c r="M9" s="847">
        <v>106.82890999999999</v>
      </c>
      <c r="N9" s="847">
        <v>-6.1252500000000003</v>
      </c>
      <c r="O9" s="847" t="s">
        <v>2175</v>
      </c>
      <c r="P9" s="847">
        <v>274.24</v>
      </c>
      <c r="Q9" s="850"/>
    </row>
    <row r="10" spans="1:17">
      <c r="A10" s="847" t="s">
        <v>3192</v>
      </c>
      <c r="B10" s="847" t="s">
        <v>3193</v>
      </c>
      <c r="C10" s="813" t="s">
        <v>1092</v>
      </c>
      <c r="D10" s="813" t="s">
        <v>7</v>
      </c>
      <c r="E10" s="813" t="s">
        <v>35</v>
      </c>
      <c r="F10" s="847">
        <v>20</v>
      </c>
      <c r="G10" s="847">
        <v>20</v>
      </c>
      <c r="H10" s="856">
        <v>106.869</v>
      </c>
      <c r="I10" s="847">
        <v>-6.3432199999999996</v>
      </c>
      <c r="J10" s="813" t="s">
        <v>316</v>
      </c>
      <c r="K10" s="813" t="s">
        <v>3197</v>
      </c>
      <c r="L10" s="813" t="s">
        <v>3194</v>
      </c>
      <c r="M10" s="847">
        <v>106.86960000000001</v>
      </c>
      <c r="N10" s="847">
        <v>-6.3430999999999997</v>
      </c>
      <c r="O10" s="850"/>
      <c r="P10" s="850"/>
      <c r="Q10" s="851" t="s">
        <v>3200</v>
      </c>
    </row>
    <row r="11" spans="1:17">
      <c r="A11" s="247"/>
      <c r="B11" s="675"/>
      <c r="C11" s="222"/>
      <c r="D11" s="588"/>
      <c r="E11" s="588"/>
      <c r="F11" s="247"/>
      <c r="G11" s="247"/>
      <c r="H11" s="839"/>
      <c r="I11" s="675"/>
      <c r="J11" s="222" t="s">
        <v>314</v>
      </c>
      <c r="K11" s="817" t="s">
        <v>3199</v>
      </c>
      <c r="L11" s="817" t="s">
        <v>3195</v>
      </c>
      <c r="M11" s="238">
        <v>106.8687</v>
      </c>
      <c r="N11" s="238">
        <v>-6.3441000000000001</v>
      </c>
      <c r="Q11" s="2" t="s">
        <v>3200</v>
      </c>
    </row>
    <row r="12" spans="1:17">
      <c r="A12" s="247"/>
      <c r="B12" s="675"/>
      <c r="C12" s="222"/>
      <c r="D12" s="588"/>
      <c r="E12" s="588"/>
      <c r="F12" s="247"/>
      <c r="G12" s="247"/>
      <c r="H12" s="839"/>
      <c r="I12" s="675"/>
      <c r="J12" s="222" t="s">
        <v>179</v>
      </c>
      <c r="K12" s="817" t="s">
        <v>3198</v>
      </c>
      <c r="L12" s="817" t="s">
        <v>3196</v>
      </c>
      <c r="M12" s="238">
        <v>106.8694</v>
      </c>
      <c r="N12" s="238">
        <v>-6.3421000000000003</v>
      </c>
      <c r="Q12" s="2" t="s">
        <v>3200</v>
      </c>
    </row>
  </sheetData>
  <autoFilter ref="A1:P9" xr:uid="{00000000-0009-0000-0000-000004000000}"/>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E50"/>
  <sheetViews>
    <sheetView topLeftCell="A37" workbookViewId="0">
      <selection activeCell="F53" sqref="E53:F54"/>
    </sheetView>
  </sheetViews>
  <sheetFormatPr defaultRowHeight="15"/>
  <cols>
    <col min="1" max="1" width="6.140625" customWidth="1"/>
    <col min="2" max="2" width="16.140625" customWidth="1"/>
    <col min="3" max="4" width="22.85546875" customWidth="1"/>
    <col min="6" max="6" width="12.140625" customWidth="1"/>
    <col min="7" max="8" width="11.85546875" customWidth="1"/>
    <col min="9" max="9" width="14.85546875" customWidth="1"/>
    <col min="10" max="10" width="13.28515625" customWidth="1"/>
    <col min="11" max="11" width="14.7109375" bestFit="1" customWidth="1"/>
    <col min="12" max="12" width="11.28515625" bestFit="1" customWidth="1"/>
    <col min="13" max="13" width="10.140625" customWidth="1"/>
    <col min="18" max="18" width="14.140625" customWidth="1"/>
    <col min="19" max="19" width="13.42578125" customWidth="1"/>
    <col min="23" max="23" width="14" customWidth="1"/>
  </cols>
  <sheetData>
    <row r="1" spans="1:31" ht="23.25" thickBot="1">
      <c r="B1" s="64" t="s">
        <v>943</v>
      </c>
      <c r="C1" s="65" t="s">
        <v>944</v>
      </c>
      <c r="D1" s="65" t="s">
        <v>945</v>
      </c>
      <c r="E1" s="65" t="s">
        <v>946</v>
      </c>
      <c r="F1" s="65" t="s">
        <v>947</v>
      </c>
      <c r="G1" s="65" t="s">
        <v>81</v>
      </c>
      <c r="H1" s="65" t="s">
        <v>948</v>
      </c>
      <c r="I1" s="65" t="s">
        <v>949</v>
      </c>
      <c r="J1" s="65" t="s">
        <v>950</v>
      </c>
      <c r="K1" s="65" t="s">
        <v>951</v>
      </c>
      <c r="L1" s="65" t="s">
        <v>952</v>
      </c>
      <c r="M1" s="65" t="s">
        <v>953</v>
      </c>
      <c r="N1" s="65" t="s">
        <v>954</v>
      </c>
      <c r="O1" s="66" t="s">
        <v>955</v>
      </c>
      <c r="P1" s="66" t="s">
        <v>956</v>
      </c>
      <c r="Q1" s="66" t="s">
        <v>957</v>
      </c>
      <c r="R1" s="66" t="s">
        <v>70</v>
      </c>
      <c r="S1" s="66" t="s">
        <v>1007</v>
      </c>
      <c r="T1" s="66" t="s">
        <v>958</v>
      </c>
      <c r="U1" s="66" t="s">
        <v>959</v>
      </c>
      <c r="V1" s="66" t="s">
        <v>961</v>
      </c>
      <c r="W1" s="67" t="s">
        <v>962</v>
      </c>
      <c r="X1" s="67" t="s">
        <v>963</v>
      </c>
      <c r="Y1" s="67" t="s">
        <v>964</v>
      </c>
      <c r="Z1" s="67" t="s">
        <v>965</v>
      </c>
      <c r="AA1" s="67" t="s">
        <v>966</v>
      </c>
      <c r="AB1" s="67" t="s">
        <v>967</v>
      </c>
      <c r="AC1" s="67" t="s">
        <v>968</v>
      </c>
      <c r="AD1" s="67" t="s">
        <v>969</v>
      </c>
      <c r="AE1" s="67" t="s">
        <v>969</v>
      </c>
    </row>
    <row r="2" spans="1:31" ht="15.75" thickBot="1">
      <c r="B2" s="76">
        <v>44158</v>
      </c>
      <c r="C2" s="91" t="s">
        <v>197</v>
      </c>
      <c r="D2" s="92"/>
      <c r="E2" s="93" t="s">
        <v>970</v>
      </c>
      <c r="F2" s="93" t="s">
        <v>1008</v>
      </c>
      <c r="G2" s="94" t="s">
        <v>971</v>
      </c>
      <c r="H2" s="94" t="s">
        <v>972</v>
      </c>
      <c r="I2" s="94" t="s">
        <v>973</v>
      </c>
      <c r="J2" s="95">
        <v>106.659012</v>
      </c>
      <c r="K2" s="96">
        <v>-6.3771300000000002</v>
      </c>
      <c r="L2" s="97" t="s">
        <v>974</v>
      </c>
      <c r="M2" s="94" t="s">
        <v>975</v>
      </c>
      <c r="N2" s="93" t="s">
        <v>976</v>
      </c>
      <c r="O2" s="92" t="s">
        <v>316</v>
      </c>
      <c r="P2" s="92">
        <v>106.66087</v>
      </c>
      <c r="Q2" s="92">
        <v>-6.3796499999999998</v>
      </c>
      <c r="R2" s="92" t="s">
        <v>319</v>
      </c>
      <c r="S2" s="92"/>
      <c r="T2" s="92" t="s">
        <v>977</v>
      </c>
      <c r="U2" s="92" t="s">
        <v>978</v>
      </c>
      <c r="V2" s="92" t="s">
        <v>979</v>
      </c>
      <c r="W2" s="69"/>
      <c r="X2" s="69"/>
      <c r="Y2" s="69"/>
      <c r="Z2" s="69"/>
      <c r="AA2" s="69"/>
      <c r="AB2" s="69"/>
      <c r="AC2" s="69"/>
      <c r="AD2" s="69"/>
      <c r="AE2" s="69"/>
    </row>
    <row r="3" spans="1:31" ht="15.75" thickBot="1">
      <c r="B3" s="76">
        <v>44158</v>
      </c>
      <c r="C3" s="91" t="s">
        <v>197</v>
      </c>
      <c r="D3" s="92"/>
      <c r="E3" s="93" t="s">
        <v>970</v>
      </c>
      <c r="F3" s="93" t="s">
        <v>1008</v>
      </c>
      <c r="G3" s="99"/>
      <c r="H3" s="99"/>
      <c r="I3" s="99"/>
      <c r="J3" s="100"/>
      <c r="K3" s="101"/>
      <c r="L3" s="102"/>
      <c r="M3" s="99"/>
      <c r="N3" s="98"/>
      <c r="O3" s="92" t="s">
        <v>314</v>
      </c>
      <c r="P3" s="92">
        <v>106.65555999999999</v>
      </c>
      <c r="Q3" s="92">
        <v>-6.3792499999999999</v>
      </c>
      <c r="R3" s="92" t="s">
        <v>319</v>
      </c>
      <c r="S3" s="92"/>
      <c r="T3" s="92" t="s">
        <v>977</v>
      </c>
      <c r="U3" s="92" t="s">
        <v>978</v>
      </c>
      <c r="V3" s="92" t="s">
        <v>980</v>
      </c>
      <c r="W3" s="69"/>
      <c r="X3" s="69"/>
      <c r="Y3" s="69"/>
      <c r="Z3" s="69"/>
      <c r="AA3" s="69"/>
      <c r="AB3" s="69"/>
      <c r="AC3" s="69"/>
      <c r="AD3" s="69"/>
      <c r="AE3" s="69"/>
    </row>
    <row r="4" spans="1:31" ht="15.75" thickBot="1">
      <c r="B4" s="76">
        <v>44158</v>
      </c>
      <c r="C4" s="91" t="s">
        <v>190</v>
      </c>
      <c r="D4" s="92"/>
      <c r="E4" s="93" t="s">
        <v>970</v>
      </c>
      <c r="F4" s="93" t="s">
        <v>1008</v>
      </c>
      <c r="G4" s="94" t="s">
        <v>971</v>
      </c>
      <c r="H4" s="94" t="s">
        <v>972</v>
      </c>
      <c r="I4" s="94" t="s">
        <v>973</v>
      </c>
      <c r="J4" s="95">
        <v>106.690697</v>
      </c>
      <c r="K4" s="103">
        <v>-6.3913000000000002</v>
      </c>
      <c r="L4" s="97" t="s">
        <v>981</v>
      </c>
      <c r="M4" s="94" t="s">
        <v>982</v>
      </c>
      <c r="N4" s="93" t="s">
        <v>983</v>
      </c>
      <c r="O4" s="92" t="s">
        <v>316</v>
      </c>
      <c r="P4" s="92">
        <v>106.69319</v>
      </c>
      <c r="Q4" s="92">
        <v>-6.3894299999999999</v>
      </c>
      <c r="R4" s="92" t="s">
        <v>319</v>
      </c>
      <c r="S4" s="92"/>
      <c r="T4" s="92" t="s">
        <v>984</v>
      </c>
      <c r="U4" s="92" t="s">
        <v>978</v>
      </c>
      <c r="V4" s="92" t="s">
        <v>985</v>
      </c>
      <c r="W4" s="69"/>
      <c r="X4" s="69"/>
      <c r="Y4" s="69"/>
      <c r="Z4" s="69"/>
      <c r="AA4" s="69"/>
      <c r="AB4" s="69"/>
      <c r="AC4" s="69"/>
      <c r="AD4" s="69"/>
      <c r="AE4" s="69"/>
    </row>
    <row r="5" spans="1:31" ht="15.75" thickBot="1">
      <c r="B5" s="76">
        <v>44158</v>
      </c>
      <c r="C5" s="91" t="s">
        <v>190</v>
      </c>
      <c r="D5" s="92"/>
      <c r="E5" s="93" t="s">
        <v>970</v>
      </c>
      <c r="F5" s="93" t="s">
        <v>1008</v>
      </c>
      <c r="G5" s="99"/>
      <c r="H5" s="99"/>
      <c r="I5" s="99"/>
      <c r="J5" s="100"/>
      <c r="K5" s="104"/>
      <c r="L5" s="102"/>
      <c r="M5" s="99"/>
      <c r="N5" s="98"/>
      <c r="O5" s="92" t="s">
        <v>314</v>
      </c>
      <c r="P5" s="92">
        <v>106.69362</v>
      </c>
      <c r="Q5" s="92">
        <v>-6.3909500000000001</v>
      </c>
      <c r="R5" s="92" t="s">
        <v>319</v>
      </c>
      <c r="S5" s="92"/>
      <c r="T5" s="92" t="s">
        <v>984</v>
      </c>
      <c r="U5" s="92" t="s">
        <v>978</v>
      </c>
      <c r="V5" s="92" t="s">
        <v>980</v>
      </c>
      <c r="W5" s="69"/>
      <c r="X5" s="69"/>
      <c r="Y5" s="69"/>
      <c r="Z5" s="69"/>
      <c r="AA5" s="69"/>
      <c r="AB5" s="69"/>
      <c r="AC5" s="69"/>
      <c r="AD5" s="69"/>
      <c r="AE5" s="69"/>
    </row>
    <row r="6" spans="1:31" ht="15.75" thickBot="1">
      <c r="B6" s="76">
        <v>44161</v>
      </c>
      <c r="C6" s="91" t="s">
        <v>195</v>
      </c>
      <c r="D6" s="92"/>
      <c r="E6" s="93" t="s">
        <v>986</v>
      </c>
      <c r="F6" s="93" t="s">
        <v>1008</v>
      </c>
      <c r="G6" s="94" t="s">
        <v>987</v>
      </c>
      <c r="H6" s="94" t="s">
        <v>988</v>
      </c>
      <c r="I6" s="94" t="s">
        <v>989</v>
      </c>
      <c r="J6" s="95">
        <v>106.64953300000001</v>
      </c>
      <c r="K6" s="95">
        <v>-6.1117949999999999</v>
      </c>
      <c r="L6" s="97" t="s">
        <v>981</v>
      </c>
      <c r="M6" s="94" t="s">
        <v>975</v>
      </c>
      <c r="N6" s="93" t="s">
        <v>983</v>
      </c>
      <c r="O6" s="92" t="s">
        <v>316</v>
      </c>
      <c r="P6" s="92">
        <v>107.03364000000001</v>
      </c>
      <c r="Q6" s="92">
        <v>-6.2459300000000004</v>
      </c>
      <c r="R6" s="92" t="s">
        <v>319</v>
      </c>
      <c r="S6" s="92"/>
      <c r="T6" s="92" t="s">
        <v>984</v>
      </c>
      <c r="U6" s="92" t="s">
        <v>978</v>
      </c>
      <c r="V6" s="92" t="s">
        <v>990</v>
      </c>
      <c r="W6" s="69"/>
      <c r="X6" s="69"/>
      <c r="Y6" s="69"/>
      <c r="Z6" s="69"/>
      <c r="AA6" s="69"/>
      <c r="AB6" s="69"/>
      <c r="AC6" s="69"/>
      <c r="AD6" s="69"/>
      <c r="AE6" s="69"/>
    </row>
    <row r="7" spans="1:31" ht="15.75" thickBot="1">
      <c r="B7" s="76">
        <v>44161</v>
      </c>
      <c r="C7" s="91" t="s">
        <v>195</v>
      </c>
      <c r="D7" s="92"/>
      <c r="E7" s="93" t="s">
        <v>986</v>
      </c>
      <c r="F7" s="93" t="s">
        <v>1008</v>
      </c>
      <c r="G7" s="99"/>
      <c r="H7" s="99"/>
      <c r="I7" s="99"/>
      <c r="J7" s="100"/>
      <c r="K7" s="100"/>
      <c r="L7" s="102"/>
      <c r="M7" s="99"/>
      <c r="N7" s="98"/>
      <c r="O7" s="92" t="s">
        <v>314</v>
      </c>
      <c r="P7" s="105">
        <v>106.64539000000001</v>
      </c>
      <c r="Q7" s="105">
        <v>-6.1083100000000004</v>
      </c>
      <c r="R7" s="92" t="s">
        <v>319</v>
      </c>
      <c r="S7" s="92"/>
      <c r="T7" s="92" t="s">
        <v>984</v>
      </c>
      <c r="U7" s="92" t="s">
        <v>978</v>
      </c>
      <c r="V7" s="92" t="s">
        <v>991</v>
      </c>
      <c r="W7" s="69"/>
      <c r="X7" s="69"/>
      <c r="Y7" s="69"/>
      <c r="Z7" s="69"/>
      <c r="AA7" s="69"/>
      <c r="AB7" s="69"/>
      <c r="AC7" s="69"/>
      <c r="AD7" s="69"/>
      <c r="AE7" s="69"/>
    </row>
    <row r="8" spans="1:31" ht="15.75" thickBot="1">
      <c r="B8" s="76">
        <v>44161</v>
      </c>
      <c r="C8" s="106" t="s">
        <v>186</v>
      </c>
      <c r="D8" s="106"/>
      <c r="E8" s="93" t="s">
        <v>986</v>
      </c>
      <c r="F8" s="93" t="s">
        <v>1008</v>
      </c>
      <c r="G8" s="107" t="s">
        <v>987</v>
      </c>
      <c r="H8" s="106" t="s">
        <v>988</v>
      </c>
      <c r="I8" s="106" t="s">
        <v>992</v>
      </c>
      <c r="J8" s="106">
        <v>106.371353</v>
      </c>
      <c r="K8" s="107">
        <v>-6.1009169999999999</v>
      </c>
      <c r="L8" s="106">
        <v>43</v>
      </c>
      <c r="M8" s="107">
        <v>30</v>
      </c>
      <c r="N8" s="107" t="s">
        <v>976</v>
      </c>
      <c r="O8" s="108" t="s">
        <v>316</v>
      </c>
      <c r="P8" s="109">
        <v>106.37271</v>
      </c>
      <c r="Q8" s="108">
        <v>-6.1010600000000004</v>
      </c>
      <c r="R8" s="109" t="s">
        <v>319</v>
      </c>
      <c r="S8" s="106"/>
      <c r="T8" s="106" t="s">
        <v>977</v>
      </c>
      <c r="U8" s="109" t="s">
        <v>993</v>
      </c>
      <c r="V8" s="108" t="s">
        <v>994</v>
      </c>
      <c r="W8" s="70"/>
      <c r="X8" s="70"/>
      <c r="Y8" s="70"/>
      <c r="Z8" s="70"/>
      <c r="AA8" s="70"/>
      <c r="AB8" s="70"/>
      <c r="AC8" s="70"/>
      <c r="AD8" s="70"/>
      <c r="AE8" s="70"/>
    </row>
    <row r="9" spans="1:31" ht="15.75" thickBot="1">
      <c r="B9" s="76">
        <v>44161</v>
      </c>
      <c r="C9" s="91" t="s">
        <v>211</v>
      </c>
      <c r="D9" s="92"/>
      <c r="E9" s="93" t="s">
        <v>995</v>
      </c>
      <c r="F9" s="93" t="s">
        <v>1008</v>
      </c>
      <c r="G9" s="94" t="s">
        <v>971</v>
      </c>
      <c r="H9" s="94" t="s">
        <v>972</v>
      </c>
      <c r="I9" s="94" t="s">
        <v>996</v>
      </c>
      <c r="J9" s="95">
        <v>106.690697</v>
      </c>
      <c r="K9" s="103">
        <v>-6.5267759999999999</v>
      </c>
      <c r="L9" s="97" t="s">
        <v>997</v>
      </c>
      <c r="M9" s="94" t="s">
        <v>974</v>
      </c>
      <c r="N9" s="93" t="s">
        <v>983</v>
      </c>
      <c r="O9" s="92" t="s">
        <v>316</v>
      </c>
      <c r="P9" s="92">
        <v>106.90725999999999</v>
      </c>
      <c r="Q9" s="110">
        <v>-6.5270999999999999</v>
      </c>
      <c r="R9" s="92" t="s">
        <v>319</v>
      </c>
      <c r="S9" s="92"/>
      <c r="T9" s="92" t="s">
        <v>977</v>
      </c>
      <c r="U9" s="92" t="s">
        <v>993</v>
      </c>
      <c r="V9" s="92" t="s">
        <v>998</v>
      </c>
      <c r="W9" s="69"/>
      <c r="X9" s="69"/>
      <c r="Y9" s="69"/>
      <c r="Z9" s="69"/>
      <c r="AA9" s="69"/>
      <c r="AB9" s="69"/>
      <c r="AC9" s="69"/>
      <c r="AD9" s="69"/>
      <c r="AE9" s="69"/>
    </row>
    <row r="10" spans="1:31" ht="15.75" thickBot="1">
      <c r="B10" s="76">
        <v>44161</v>
      </c>
      <c r="C10" s="91" t="s">
        <v>211</v>
      </c>
      <c r="D10" s="92"/>
      <c r="E10" s="93" t="s">
        <v>995</v>
      </c>
      <c r="F10" s="93" t="s">
        <v>1008</v>
      </c>
      <c r="G10" s="99"/>
      <c r="H10" s="99"/>
      <c r="I10" s="99"/>
      <c r="J10" s="100"/>
      <c r="K10" s="104"/>
      <c r="L10" s="102"/>
      <c r="M10" s="99"/>
      <c r="N10" s="98"/>
      <c r="O10" s="92" t="s">
        <v>314</v>
      </c>
      <c r="P10" s="92">
        <v>106.907988</v>
      </c>
      <c r="Q10" s="92">
        <v>-6.52677</v>
      </c>
      <c r="R10" s="92" t="s">
        <v>319</v>
      </c>
      <c r="S10" s="92"/>
      <c r="T10" s="92" t="s">
        <v>977</v>
      </c>
      <c r="U10" s="92" t="s">
        <v>993</v>
      </c>
      <c r="V10" s="92" t="s">
        <v>999</v>
      </c>
      <c r="W10" s="69"/>
      <c r="X10" s="69"/>
      <c r="Y10" s="69"/>
      <c r="Z10" s="69"/>
      <c r="AA10" s="69"/>
      <c r="AB10" s="69"/>
      <c r="AC10" s="69"/>
      <c r="AD10" s="69"/>
      <c r="AE10" s="69"/>
    </row>
    <row r="11" spans="1:31" ht="15.75" thickBot="1">
      <c r="B11" s="76">
        <v>44161</v>
      </c>
      <c r="C11" s="91" t="s">
        <v>187</v>
      </c>
      <c r="D11" s="92"/>
      <c r="E11" s="93" t="s">
        <v>986</v>
      </c>
      <c r="F11" s="93" t="s">
        <v>1008</v>
      </c>
      <c r="G11" s="94" t="s">
        <v>987</v>
      </c>
      <c r="H11" s="111" t="s">
        <v>1000</v>
      </c>
      <c r="I11" s="94" t="s">
        <v>1001</v>
      </c>
      <c r="J11" s="95">
        <v>106.226535</v>
      </c>
      <c r="K11" s="103">
        <v>-6.179163</v>
      </c>
      <c r="L11" s="97" t="s">
        <v>1002</v>
      </c>
      <c r="M11" s="94" t="s">
        <v>975</v>
      </c>
      <c r="N11" s="93" t="s">
        <v>983</v>
      </c>
      <c r="O11" s="92" t="s">
        <v>316</v>
      </c>
      <c r="P11" s="110">
        <v>106.2268</v>
      </c>
      <c r="Q11" s="110">
        <v>-6.1810799999999997</v>
      </c>
      <c r="R11" s="92" t="s">
        <v>319</v>
      </c>
      <c r="S11" s="92"/>
      <c r="T11" s="92" t="s">
        <v>977</v>
      </c>
      <c r="U11" s="92" t="s">
        <v>978</v>
      </c>
      <c r="V11" s="92" t="s">
        <v>1003</v>
      </c>
      <c r="W11" s="69"/>
      <c r="X11" s="69"/>
      <c r="Y11" s="69"/>
      <c r="Z11" s="69"/>
      <c r="AA11" s="69"/>
      <c r="AB11" s="69"/>
      <c r="AC11" s="69"/>
      <c r="AD11" s="69"/>
      <c r="AE11" s="69"/>
    </row>
    <row r="12" spans="1:31" ht="15.75" thickBot="1">
      <c r="B12" s="76">
        <v>44161</v>
      </c>
      <c r="C12" s="112" t="s">
        <v>187</v>
      </c>
      <c r="D12" s="92"/>
      <c r="E12" s="93" t="s">
        <v>986</v>
      </c>
      <c r="F12" s="93" t="s">
        <v>1008</v>
      </c>
      <c r="G12" s="99"/>
      <c r="H12" s="113"/>
      <c r="I12" s="99"/>
      <c r="J12" s="100"/>
      <c r="K12" s="104"/>
      <c r="L12" s="102"/>
      <c r="M12" s="99"/>
      <c r="N12" s="98"/>
      <c r="O12" s="92" t="s">
        <v>314</v>
      </c>
      <c r="P12" s="92">
        <v>106.22775</v>
      </c>
      <c r="Q12" s="92">
        <v>-6.1800499999999996</v>
      </c>
      <c r="R12" s="92" t="s">
        <v>319</v>
      </c>
      <c r="S12" s="92"/>
      <c r="T12" s="92" t="s">
        <v>977</v>
      </c>
      <c r="U12" s="92" t="s">
        <v>978</v>
      </c>
      <c r="V12" s="92" t="s">
        <v>1004</v>
      </c>
      <c r="W12" s="69"/>
      <c r="X12" s="69"/>
      <c r="Y12" s="69"/>
      <c r="Z12" s="69"/>
      <c r="AA12" s="69"/>
      <c r="AB12" s="69"/>
      <c r="AC12" s="69"/>
      <c r="AD12" s="69"/>
      <c r="AE12" s="69"/>
    </row>
    <row r="13" spans="1:31" ht="15.75" thickBot="1">
      <c r="B13" s="68"/>
    </row>
    <row r="14" spans="1:31" ht="23.25" thickBot="1">
      <c r="A14" s="71" t="s">
        <v>1005</v>
      </c>
      <c r="B14" s="71" t="s">
        <v>943</v>
      </c>
      <c r="C14" s="72" t="s">
        <v>1006</v>
      </c>
      <c r="D14" s="72" t="s">
        <v>945</v>
      </c>
      <c r="E14" s="72" t="s">
        <v>946</v>
      </c>
      <c r="F14" s="72" t="s">
        <v>947</v>
      </c>
      <c r="G14" s="72" t="s">
        <v>81</v>
      </c>
      <c r="H14" s="72" t="s">
        <v>948</v>
      </c>
      <c r="I14" s="72" t="s">
        <v>949</v>
      </c>
      <c r="J14" s="72" t="s">
        <v>950</v>
      </c>
      <c r="K14" s="72" t="s">
        <v>951</v>
      </c>
      <c r="L14" s="72" t="s">
        <v>952</v>
      </c>
      <c r="M14" s="72" t="s">
        <v>953</v>
      </c>
      <c r="N14" s="72" t="s">
        <v>954</v>
      </c>
      <c r="O14" s="73" t="s">
        <v>955</v>
      </c>
      <c r="P14" s="73" t="s">
        <v>956</v>
      </c>
      <c r="Q14" s="73" t="s">
        <v>957</v>
      </c>
      <c r="R14" s="73" t="s">
        <v>70</v>
      </c>
      <c r="S14" s="73" t="s">
        <v>1007</v>
      </c>
      <c r="T14" s="73" t="s">
        <v>958</v>
      </c>
      <c r="U14" s="73" t="s">
        <v>959</v>
      </c>
      <c r="V14" s="73" t="s">
        <v>961</v>
      </c>
      <c r="W14" s="74" t="s">
        <v>962</v>
      </c>
      <c r="X14" s="74" t="s">
        <v>963</v>
      </c>
      <c r="Y14" s="74" t="s">
        <v>964</v>
      </c>
      <c r="Z14" s="74" t="s">
        <v>965</v>
      </c>
      <c r="AA14" s="74" t="s">
        <v>966</v>
      </c>
      <c r="AB14" s="74" t="s">
        <v>967</v>
      </c>
      <c r="AC14" s="74" t="s">
        <v>968</v>
      </c>
      <c r="AD14" s="74" t="s">
        <v>969</v>
      </c>
      <c r="AE14" s="74"/>
    </row>
    <row r="15" spans="1:31" ht="15.75" thickBot="1">
      <c r="A15" s="75">
        <v>1</v>
      </c>
      <c r="B15" s="76">
        <v>44172</v>
      </c>
      <c r="C15" s="75" t="s">
        <v>197</v>
      </c>
      <c r="D15" s="77" t="s">
        <v>919</v>
      </c>
      <c r="E15" s="75"/>
      <c r="F15" s="75" t="s">
        <v>1008</v>
      </c>
      <c r="G15" s="75" t="s">
        <v>971</v>
      </c>
      <c r="H15" s="75" t="s">
        <v>26</v>
      </c>
      <c r="I15" s="75" t="s">
        <v>1009</v>
      </c>
      <c r="J15" s="75">
        <v>106.65900999999999</v>
      </c>
      <c r="K15" s="75">
        <v>-6.3771300000000002</v>
      </c>
      <c r="L15" s="75">
        <v>40</v>
      </c>
      <c r="M15" s="75">
        <v>30</v>
      </c>
      <c r="N15" s="75">
        <v>250</v>
      </c>
      <c r="O15" s="77" t="s">
        <v>179</v>
      </c>
      <c r="P15" s="78">
        <v>106.65787</v>
      </c>
      <c r="Q15" s="78">
        <v>-6.3700400000000004</v>
      </c>
      <c r="R15" s="75" t="s">
        <v>1010</v>
      </c>
      <c r="S15" s="75" t="s">
        <v>319</v>
      </c>
      <c r="T15" s="75" t="s">
        <v>1011</v>
      </c>
      <c r="U15" s="75" t="s">
        <v>1012</v>
      </c>
      <c r="V15" s="75" t="s">
        <v>1013</v>
      </c>
      <c r="W15" s="75"/>
      <c r="X15" s="75"/>
      <c r="Y15" s="75"/>
      <c r="Z15" s="75"/>
      <c r="AA15" s="75"/>
      <c r="AB15" s="75"/>
      <c r="AC15" s="75"/>
      <c r="AD15" s="75"/>
      <c r="AE15" s="75"/>
    </row>
    <row r="16" spans="1:31" ht="15.75" thickBot="1">
      <c r="A16" s="75">
        <v>2</v>
      </c>
      <c r="B16" s="76">
        <v>44172</v>
      </c>
      <c r="C16" s="75" t="s">
        <v>197</v>
      </c>
      <c r="D16" s="77" t="s">
        <v>919</v>
      </c>
      <c r="E16" s="75"/>
      <c r="F16" s="75" t="s">
        <v>1008</v>
      </c>
      <c r="G16" s="75" t="s">
        <v>971</v>
      </c>
      <c r="H16" s="75" t="s">
        <v>26</v>
      </c>
      <c r="I16" s="75" t="s">
        <v>1009</v>
      </c>
      <c r="J16" s="75">
        <v>106.65900999999999</v>
      </c>
      <c r="K16" s="75">
        <v>-6.3771300000000002</v>
      </c>
      <c r="L16" s="75">
        <v>40</v>
      </c>
      <c r="M16" s="75">
        <v>30</v>
      </c>
      <c r="N16" s="75">
        <v>250</v>
      </c>
      <c r="O16" s="77" t="s">
        <v>178</v>
      </c>
      <c r="P16" s="78">
        <v>106.66292</v>
      </c>
      <c r="Q16" s="78">
        <v>-6.3703799999999999</v>
      </c>
      <c r="R16" s="75" t="s">
        <v>1010</v>
      </c>
      <c r="S16" s="75" t="s">
        <v>319</v>
      </c>
      <c r="T16" s="75" t="s">
        <v>1011</v>
      </c>
      <c r="U16" s="75" t="s">
        <v>1012</v>
      </c>
      <c r="V16" s="75" t="s">
        <v>1014</v>
      </c>
      <c r="W16" s="75"/>
      <c r="X16" s="75"/>
      <c r="Y16" s="75"/>
      <c r="Z16" s="75"/>
      <c r="AA16" s="75"/>
      <c r="AB16" s="75"/>
      <c r="AC16" s="75"/>
      <c r="AD16" s="75"/>
      <c r="AE16" s="75"/>
    </row>
    <row r="17" spans="1:31" ht="15.75" thickBot="1">
      <c r="A17" s="75">
        <v>3</v>
      </c>
      <c r="B17" s="76">
        <v>44172</v>
      </c>
      <c r="C17" s="75" t="s">
        <v>190</v>
      </c>
      <c r="D17" s="77" t="s">
        <v>891</v>
      </c>
      <c r="E17" s="75"/>
      <c r="F17" s="75" t="s">
        <v>1008</v>
      </c>
      <c r="G17" s="75" t="s">
        <v>971</v>
      </c>
      <c r="H17" s="75" t="s">
        <v>26</v>
      </c>
      <c r="I17" s="75" t="s">
        <v>1009</v>
      </c>
      <c r="J17" s="75">
        <v>106.69070000000001</v>
      </c>
      <c r="K17" s="75">
        <v>-6.3913000000000002</v>
      </c>
      <c r="L17" s="75">
        <v>35</v>
      </c>
      <c r="M17" s="75">
        <v>26</v>
      </c>
      <c r="N17" s="75">
        <v>150</v>
      </c>
      <c r="O17" s="77" t="s">
        <v>316</v>
      </c>
      <c r="P17" s="77">
        <v>106.69319</v>
      </c>
      <c r="Q17" s="77">
        <v>-6.3894299999999999</v>
      </c>
      <c r="R17" s="75" t="s">
        <v>1010</v>
      </c>
      <c r="S17" s="75" t="s">
        <v>319</v>
      </c>
      <c r="T17" s="75" t="s">
        <v>1011</v>
      </c>
      <c r="U17" s="75" t="s">
        <v>1012</v>
      </c>
      <c r="V17" s="75" t="s">
        <v>1015</v>
      </c>
      <c r="W17" s="75"/>
      <c r="X17" s="75"/>
      <c r="Y17" s="75"/>
      <c r="Z17" s="75"/>
      <c r="AA17" s="75"/>
      <c r="AB17" s="75"/>
      <c r="AC17" s="75"/>
      <c r="AD17" s="75"/>
      <c r="AE17" s="75"/>
    </row>
    <row r="18" spans="1:31" ht="15.75" thickBot="1">
      <c r="A18" s="75">
        <v>4</v>
      </c>
      <c r="B18" s="76">
        <v>44172</v>
      </c>
      <c r="C18" s="75" t="s">
        <v>189</v>
      </c>
      <c r="D18" s="77" t="s">
        <v>887</v>
      </c>
      <c r="E18" s="75"/>
      <c r="F18" s="75" t="s">
        <v>1008</v>
      </c>
      <c r="G18" s="75" t="s">
        <v>971</v>
      </c>
      <c r="H18" s="75" t="s">
        <v>26</v>
      </c>
      <c r="I18" s="75" t="s">
        <v>1016</v>
      </c>
      <c r="J18" s="79" t="s">
        <v>890</v>
      </c>
      <c r="K18" s="79" t="s">
        <v>889</v>
      </c>
      <c r="L18" s="78">
        <v>49</v>
      </c>
      <c r="M18" s="78">
        <v>30</v>
      </c>
      <c r="N18" s="78">
        <v>150</v>
      </c>
      <c r="O18" s="77" t="s">
        <v>316</v>
      </c>
      <c r="P18" s="78">
        <v>106.65864999999999</v>
      </c>
      <c r="Q18" s="78">
        <v>-6.6185099999999997</v>
      </c>
      <c r="R18" s="75" t="s">
        <v>1010</v>
      </c>
      <c r="S18" s="75" t="s">
        <v>319</v>
      </c>
      <c r="T18" s="75" t="s">
        <v>1011</v>
      </c>
      <c r="U18" s="75" t="s">
        <v>1012</v>
      </c>
      <c r="V18" s="75" t="s">
        <v>1017</v>
      </c>
      <c r="W18" s="75"/>
      <c r="X18" s="75"/>
      <c r="Y18" s="75"/>
      <c r="Z18" s="75"/>
      <c r="AA18" s="75"/>
      <c r="AB18" s="75"/>
      <c r="AC18" s="75"/>
      <c r="AD18" s="75"/>
      <c r="AE18" s="75"/>
    </row>
    <row r="19" spans="1:31" ht="15.75" thickBot="1">
      <c r="A19" s="75">
        <v>5</v>
      </c>
      <c r="B19" s="76">
        <v>44172</v>
      </c>
      <c r="C19" s="75" t="s">
        <v>189</v>
      </c>
      <c r="D19" s="77" t="s">
        <v>887</v>
      </c>
      <c r="E19" s="75"/>
      <c r="F19" s="75" t="s">
        <v>1008</v>
      </c>
      <c r="G19" s="75" t="s">
        <v>971</v>
      </c>
      <c r="H19" s="75" t="s">
        <v>26</v>
      </c>
      <c r="I19" s="75" t="s">
        <v>1016</v>
      </c>
      <c r="J19" s="79" t="s">
        <v>890</v>
      </c>
      <c r="K19" s="79" t="s">
        <v>889</v>
      </c>
      <c r="L19" s="78">
        <v>49</v>
      </c>
      <c r="M19" s="78">
        <v>30</v>
      </c>
      <c r="N19" s="78">
        <v>150</v>
      </c>
      <c r="O19" s="77" t="s">
        <v>314</v>
      </c>
      <c r="P19" s="78">
        <v>106.65853</v>
      </c>
      <c r="Q19" s="78">
        <v>-6.6181999999999999</v>
      </c>
      <c r="R19" s="75" t="s">
        <v>1010</v>
      </c>
      <c r="S19" s="75" t="s">
        <v>319</v>
      </c>
      <c r="T19" s="75" t="s">
        <v>1011</v>
      </c>
      <c r="U19" s="75" t="s">
        <v>1012</v>
      </c>
      <c r="V19" s="75" t="s">
        <v>1018</v>
      </c>
      <c r="W19" s="75"/>
      <c r="X19" s="75"/>
      <c r="Y19" s="75"/>
      <c r="Z19" s="75"/>
      <c r="AA19" s="75"/>
      <c r="AB19" s="75"/>
      <c r="AC19" s="75"/>
      <c r="AD19" s="75"/>
      <c r="AE19" s="75"/>
    </row>
    <row r="20" spans="1:31" ht="15.75" thickBot="1">
      <c r="A20" s="75">
        <v>6</v>
      </c>
      <c r="B20" s="76">
        <v>44172</v>
      </c>
      <c r="C20" s="78" t="s">
        <v>194</v>
      </c>
      <c r="D20" s="77" t="s">
        <v>907</v>
      </c>
      <c r="E20" s="75"/>
      <c r="F20" s="75" t="s">
        <v>1008</v>
      </c>
      <c r="G20" s="75" t="s">
        <v>987</v>
      </c>
      <c r="H20" s="78" t="s">
        <v>21</v>
      </c>
      <c r="I20" s="78" t="s">
        <v>826</v>
      </c>
      <c r="J20" s="79" t="s">
        <v>910</v>
      </c>
      <c r="K20" s="79" t="s">
        <v>909</v>
      </c>
      <c r="L20" s="78">
        <v>35</v>
      </c>
      <c r="M20" s="78">
        <v>30</v>
      </c>
      <c r="N20" s="75">
        <v>150</v>
      </c>
      <c r="O20" s="77" t="s">
        <v>316</v>
      </c>
      <c r="P20" s="78">
        <v>106.59575</v>
      </c>
      <c r="Q20" s="78">
        <v>-6.1676599999999997</v>
      </c>
      <c r="R20" s="75" t="s">
        <v>1010</v>
      </c>
      <c r="S20" s="75" t="s">
        <v>1019</v>
      </c>
      <c r="T20" s="75" t="s">
        <v>1020</v>
      </c>
      <c r="U20" s="75" t="s">
        <v>1021</v>
      </c>
      <c r="V20" s="75" t="s">
        <v>1022</v>
      </c>
      <c r="W20" s="75"/>
      <c r="X20" s="75"/>
      <c r="Y20" s="75"/>
      <c r="Z20" s="75"/>
      <c r="AA20" s="75"/>
      <c r="AB20" s="75"/>
      <c r="AC20" s="75"/>
      <c r="AD20" s="75"/>
      <c r="AE20" s="75"/>
    </row>
    <row r="21" spans="1:31" ht="15.75" thickBot="1">
      <c r="A21" s="75">
        <v>7</v>
      </c>
      <c r="B21" s="76">
        <v>44172</v>
      </c>
      <c r="C21" s="78" t="s">
        <v>192</v>
      </c>
      <c r="D21" s="80" t="s">
        <v>899</v>
      </c>
      <c r="E21" s="75"/>
      <c r="F21" s="75" t="s">
        <v>1008</v>
      </c>
      <c r="G21" s="75" t="s">
        <v>987</v>
      </c>
      <c r="H21" s="78" t="s">
        <v>19</v>
      </c>
      <c r="I21" s="78" t="s">
        <v>1023</v>
      </c>
      <c r="J21" s="79" t="s">
        <v>902</v>
      </c>
      <c r="K21" s="79" t="s">
        <v>901</v>
      </c>
      <c r="L21" s="78">
        <v>39</v>
      </c>
      <c r="M21" s="78">
        <v>30</v>
      </c>
      <c r="N21" s="75">
        <v>150</v>
      </c>
      <c r="O21" s="77" t="s">
        <v>316</v>
      </c>
      <c r="P21" s="75">
        <v>106.47498</v>
      </c>
      <c r="Q21" s="75">
        <v>-6.2458900000000002</v>
      </c>
      <c r="R21" s="75" t="s">
        <v>1010</v>
      </c>
      <c r="S21" s="75" t="s">
        <v>319</v>
      </c>
      <c r="T21" s="75" t="s">
        <v>1024</v>
      </c>
      <c r="U21" s="75" t="s">
        <v>1012</v>
      </c>
      <c r="V21" s="75" t="s">
        <v>1025</v>
      </c>
      <c r="W21" s="75"/>
      <c r="X21" s="75"/>
      <c r="Y21" s="75"/>
      <c r="Z21" s="75"/>
      <c r="AA21" s="75"/>
      <c r="AB21" s="75"/>
      <c r="AC21" s="75"/>
      <c r="AD21" s="75"/>
      <c r="AE21" s="75"/>
    </row>
    <row r="22" spans="1:31" ht="15.75" thickBot="1">
      <c r="A22" s="75">
        <v>8</v>
      </c>
      <c r="B22" s="81">
        <v>44166</v>
      </c>
      <c r="C22" s="82" t="s">
        <v>195</v>
      </c>
      <c r="D22" s="82" t="s">
        <v>911</v>
      </c>
      <c r="E22" s="82"/>
      <c r="F22" s="82" t="s">
        <v>1008</v>
      </c>
      <c r="G22" s="82" t="s">
        <v>20</v>
      </c>
      <c r="H22" s="82" t="s">
        <v>988</v>
      </c>
      <c r="I22" s="78" t="s">
        <v>989</v>
      </c>
      <c r="J22" s="82">
        <v>106.64953</v>
      </c>
      <c r="K22" s="82">
        <v>-6.1117949999999999</v>
      </c>
      <c r="L22" s="82">
        <v>35</v>
      </c>
      <c r="M22" s="82">
        <v>30</v>
      </c>
      <c r="N22" s="83">
        <v>150</v>
      </c>
      <c r="O22" s="82" t="s">
        <v>316</v>
      </c>
      <c r="P22" s="83">
        <v>106.64662</v>
      </c>
      <c r="Q22" s="83">
        <v>-6.1077899999999996</v>
      </c>
      <c r="R22" s="75" t="s">
        <v>1010</v>
      </c>
      <c r="S22" s="82" t="s">
        <v>319</v>
      </c>
      <c r="T22" s="82" t="s">
        <v>1024</v>
      </c>
      <c r="U22" s="82" t="s">
        <v>978</v>
      </c>
      <c r="V22" s="82" t="s">
        <v>1026</v>
      </c>
      <c r="W22" s="75"/>
      <c r="X22" s="75"/>
      <c r="Y22" s="75"/>
      <c r="Z22" s="75"/>
      <c r="AA22" s="75"/>
      <c r="AB22" s="75"/>
      <c r="AC22" s="75"/>
      <c r="AD22" s="75"/>
      <c r="AE22" s="75"/>
    </row>
    <row r="24" spans="1:31" ht="15.75" thickBot="1"/>
    <row r="25" spans="1:31" ht="36.75" thickBot="1">
      <c r="B25" s="84" t="s">
        <v>943</v>
      </c>
      <c r="C25" s="85" t="s">
        <v>1006</v>
      </c>
      <c r="D25" s="85" t="s">
        <v>945</v>
      </c>
      <c r="E25" s="85" t="s">
        <v>946</v>
      </c>
      <c r="F25" s="85" t="s">
        <v>947</v>
      </c>
      <c r="G25" s="85" t="s">
        <v>81</v>
      </c>
      <c r="H25" s="85" t="s">
        <v>948</v>
      </c>
      <c r="I25" s="85" t="s">
        <v>949</v>
      </c>
      <c r="J25" s="85" t="s">
        <v>950</v>
      </c>
      <c r="K25" s="85" t="s">
        <v>951</v>
      </c>
      <c r="L25" s="85" t="s">
        <v>952</v>
      </c>
      <c r="M25" s="85" t="s">
        <v>953</v>
      </c>
      <c r="N25" s="72" t="s">
        <v>954</v>
      </c>
      <c r="O25" s="86" t="s">
        <v>955</v>
      </c>
      <c r="P25" s="86" t="s">
        <v>956</v>
      </c>
      <c r="Q25" s="86" t="s">
        <v>957</v>
      </c>
      <c r="R25" s="86" t="s">
        <v>1007</v>
      </c>
      <c r="S25" s="86" t="s">
        <v>958</v>
      </c>
      <c r="T25" s="86" t="s">
        <v>959</v>
      </c>
      <c r="U25" s="86" t="s">
        <v>960</v>
      </c>
      <c r="V25" s="86" t="s">
        <v>961</v>
      </c>
      <c r="W25" s="87" t="s">
        <v>962</v>
      </c>
      <c r="X25" s="87" t="s">
        <v>963</v>
      </c>
      <c r="Y25" s="87" t="s">
        <v>1027</v>
      </c>
      <c r="Z25" s="74" t="s">
        <v>965</v>
      </c>
      <c r="AA25" s="74" t="s">
        <v>966</v>
      </c>
      <c r="AB25" s="74" t="s">
        <v>967</v>
      </c>
      <c r="AC25" s="74" t="s">
        <v>968</v>
      </c>
      <c r="AD25" s="74" t="s">
        <v>969</v>
      </c>
    </row>
    <row r="26" spans="1:31" ht="15.75" thickBot="1">
      <c r="B26" s="81">
        <v>44167</v>
      </c>
      <c r="C26" s="82" t="s">
        <v>187</v>
      </c>
      <c r="D26" s="82" t="s">
        <v>874</v>
      </c>
      <c r="E26" s="82" t="s">
        <v>986</v>
      </c>
      <c r="F26" s="82" t="s">
        <v>1008</v>
      </c>
      <c r="G26" s="82" t="s">
        <v>20</v>
      </c>
      <c r="H26" s="82" t="s">
        <v>1000</v>
      </c>
      <c r="I26" s="82"/>
      <c r="J26" s="82">
        <v>10622654</v>
      </c>
      <c r="K26" s="82">
        <v>-61792</v>
      </c>
      <c r="L26" s="82">
        <v>44</v>
      </c>
      <c r="M26" s="82">
        <v>30</v>
      </c>
      <c r="N26" s="75">
        <v>250</v>
      </c>
      <c r="O26" s="83" t="s">
        <v>316</v>
      </c>
      <c r="P26" s="83">
        <v>106.2268</v>
      </c>
      <c r="Q26" s="83">
        <v>-6.1810799999999997</v>
      </c>
      <c r="R26" s="82" t="s">
        <v>319</v>
      </c>
      <c r="S26" s="82" t="s">
        <v>977</v>
      </c>
      <c r="T26" s="82" t="s">
        <v>978</v>
      </c>
      <c r="U26" s="82"/>
      <c r="V26" s="82">
        <v>214</v>
      </c>
      <c r="W26" s="82" t="s">
        <v>1028</v>
      </c>
      <c r="X26" s="82" t="s">
        <v>1029</v>
      </c>
      <c r="Y26" s="88">
        <v>44167</v>
      </c>
      <c r="Z26" s="75"/>
      <c r="AA26" s="75"/>
      <c r="AB26" s="75"/>
      <c r="AC26" s="75"/>
      <c r="AD26" s="75"/>
    </row>
    <row r="27" spans="1:31" ht="15.75" thickBot="1">
      <c r="B27" s="81">
        <v>44167</v>
      </c>
      <c r="C27" s="82" t="s">
        <v>187</v>
      </c>
      <c r="D27" s="82" t="s">
        <v>874</v>
      </c>
      <c r="E27" s="82" t="s">
        <v>986</v>
      </c>
      <c r="F27" s="82" t="s">
        <v>1008</v>
      </c>
      <c r="G27" s="82" t="s">
        <v>20</v>
      </c>
      <c r="H27" s="82" t="s">
        <v>1000</v>
      </c>
      <c r="I27" s="82"/>
      <c r="J27" s="82">
        <v>10622654</v>
      </c>
      <c r="K27" s="82">
        <v>-61792</v>
      </c>
      <c r="L27" s="82">
        <v>44</v>
      </c>
      <c r="M27" s="82">
        <v>30</v>
      </c>
      <c r="N27" s="75">
        <v>250</v>
      </c>
      <c r="O27" s="83" t="s">
        <v>314</v>
      </c>
      <c r="P27" s="83">
        <v>106.22775</v>
      </c>
      <c r="Q27" s="83">
        <v>-6.1800499999999996</v>
      </c>
      <c r="R27" s="82" t="s">
        <v>319</v>
      </c>
      <c r="S27" s="82" t="s">
        <v>977</v>
      </c>
      <c r="T27" s="82" t="s">
        <v>978</v>
      </c>
      <c r="U27" s="82"/>
      <c r="V27" s="82">
        <v>166</v>
      </c>
      <c r="W27" s="82" t="s">
        <v>1028</v>
      </c>
      <c r="X27" s="82" t="s">
        <v>1030</v>
      </c>
      <c r="Y27" s="88">
        <v>44167</v>
      </c>
      <c r="Z27" s="75"/>
      <c r="AA27" s="75"/>
      <c r="AB27" s="75"/>
      <c r="AC27" s="75"/>
      <c r="AD27" s="75"/>
    </row>
    <row r="28" spans="1:31" ht="15.75" thickBot="1">
      <c r="B28" s="81">
        <v>44166</v>
      </c>
      <c r="C28" s="82" t="s">
        <v>195</v>
      </c>
      <c r="D28" s="82" t="s">
        <v>911</v>
      </c>
      <c r="E28" s="82" t="s">
        <v>986</v>
      </c>
      <c r="F28" s="82" t="s">
        <v>1008</v>
      </c>
      <c r="G28" s="82" t="s">
        <v>20</v>
      </c>
      <c r="H28" s="82" t="s">
        <v>988</v>
      </c>
      <c r="I28" s="82"/>
      <c r="J28" s="82">
        <v>106.64953</v>
      </c>
      <c r="K28" s="82">
        <v>-6.1117949999999999</v>
      </c>
      <c r="L28" s="82">
        <v>35</v>
      </c>
      <c r="M28" s="82">
        <v>30</v>
      </c>
      <c r="N28" s="75">
        <v>150</v>
      </c>
      <c r="O28" s="83" t="s">
        <v>316</v>
      </c>
      <c r="P28" s="83">
        <v>106.64662</v>
      </c>
      <c r="Q28" s="83">
        <v>-6.1077899999999996</v>
      </c>
      <c r="R28" s="82" t="s">
        <v>319</v>
      </c>
      <c r="S28" s="82" t="s">
        <v>984</v>
      </c>
      <c r="T28" s="82" t="s">
        <v>978</v>
      </c>
      <c r="U28" s="82"/>
      <c r="V28" s="82">
        <v>547</v>
      </c>
      <c r="W28" s="89" t="s">
        <v>1031</v>
      </c>
      <c r="X28" s="82" t="s">
        <v>1032</v>
      </c>
      <c r="Y28" s="88">
        <v>44167</v>
      </c>
      <c r="Z28" s="75"/>
      <c r="AA28" s="75"/>
      <c r="AB28" s="75"/>
      <c r="AC28" s="75"/>
      <c r="AD28" s="75"/>
    </row>
    <row r="29" spans="1:31" ht="15.75" thickBot="1">
      <c r="B29" s="81">
        <v>44166</v>
      </c>
      <c r="C29" s="82" t="s">
        <v>195</v>
      </c>
      <c r="D29" s="82" t="s">
        <v>911</v>
      </c>
      <c r="E29" s="82" t="s">
        <v>986</v>
      </c>
      <c r="F29" s="82" t="s">
        <v>1008</v>
      </c>
      <c r="G29" s="82" t="s">
        <v>20</v>
      </c>
      <c r="H29" s="82" t="s">
        <v>988</v>
      </c>
      <c r="I29" s="82"/>
      <c r="J29" s="82">
        <v>106.64953</v>
      </c>
      <c r="K29" s="82">
        <v>-6.1117949999999999</v>
      </c>
      <c r="L29" s="82">
        <v>35</v>
      </c>
      <c r="M29" s="82">
        <v>30</v>
      </c>
      <c r="N29" s="78">
        <v>150</v>
      </c>
      <c r="O29" s="83" t="s">
        <v>314</v>
      </c>
      <c r="P29" s="83">
        <v>106.64539000000001</v>
      </c>
      <c r="Q29" s="83">
        <v>-6.1083100000000004</v>
      </c>
      <c r="R29" s="82" t="s">
        <v>319</v>
      </c>
      <c r="S29" s="82" t="s">
        <v>984</v>
      </c>
      <c r="T29" s="82" t="s">
        <v>978</v>
      </c>
      <c r="U29" s="82"/>
      <c r="V29" s="82">
        <v>601</v>
      </c>
      <c r="W29" s="90" t="s">
        <v>1033</v>
      </c>
      <c r="X29" s="82" t="s">
        <v>1034</v>
      </c>
      <c r="Y29" s="88">
        <v>44167</v>
      </c>
      <c r="Z29" s="75"/>
      <c r="AA29" s="75"/>
      <c r="AB29" s="75"/>
      <c r="AC29" s="75"/>
      <c r="AD29" s="75"/>
    </row>
    <row r="30" spans="1:31" ht="15.75" thickBot="1">
      <c r="B30" s="81">
        <v>44166</v>
      </c>
      <c r="C30" s="82" t="s">
        <v>186</v>
      </c>
      <c r="D30" s="82" t="s">
        <v>870</v>
      </c>
      <c r="E30" s="82" t="s">
        <v>986</v>
      </c>
      <c r="F30" s="82" t="s">
        <v>1008</v>
      </c>
      <c r="G30" s="82" t="s">
        <v>20</v>
      </c>
      <c r="H30" s="82" t="s">
        <v>988</v>
      </c>
      <c r="I30" s="82"/>
      <c r="J30" s="82">
        <v>106.37135000000001</v>
      </c>
      <c r="K30" s="82">
        <v>-6.1009169999999999</v>
      </c>
      <c r="L30" s="82">
        <v>43</v>
      </c>
      <c r="M30" s="82">
        <v>30</v>
      </c>
      <c r="N30" s="78">
        <v>150</v>
      </c>
      <c r="O30" s="83" t="s">
        <v>316</v>
      </c>
      <c r="P30" s="83">
        <v>106.37271</v>
      </c>
      <c r="Q30" s="83">
        <v>-6.1010600000000004</v>
      </c>
      <c r="R30" s="82" t="s">
        <v>319</v>
      </c>
      <c r="S30" s="82" t="s">
        <v>977</v>
      </c>
      <c r="T30" s="82" t="s">
        <v>993</v>
      </c>
      <c r="U30" s="82"/>
      <c r="V30" s="82">
        <v>115</v>
      </c>
      <c r="W30" s="82" t="s">
        <v>1028</v>
      </c>
      <c r="X30" s="82"/>
      <c r="Y30" s="88">
        <v>44167</v>
      </c>
      <c r="Z30" s="75"/>
      <c r="AA30" s="75"/>
      <c r="AB30" s="75"/>
      <c r="AC30" s="75"/>
      <c r="AD30" s="75"/>
    </row>
    <row r="31" spans="1:31" ht="15.75" thickBot="1">
      <c r="B31" s="81">
        <v>44166</v>
      </c>
      <c r="C31" s="82" t="s">
        <v>211</v>
      </c>
      <c r="D31" s="82" t="s">
        <v>883</v>
      </c>
      <c r="E31" s="82" t="s">
        <v>995</v>
      </c>
      <c r="F31" s="82" t="s">
        <v>1008</v>
      </c>
      <c r="G31" s="82" t="s">
        <v>13</v>
      </c>
      <c r="H31" s="82" t="s">
        <v>972</v>
      </c>
      <c r="I31" s="82"/>
      <c r="J31" s="82">
        <v>106.69070000000001</v>
      </c>
      <c r="K31" s="82">
        <v>-6.5267999999999997</v>
      </c>
      <c r="L31" s="82">
        <v>43</v>
      </c>
      <c r="M31" s="82">
        <v>40</v>
      </c>
      <c r="N31" s="75">
        <v>150</v>
      </c>
      <c r="O31" s="83" t="s">
        <v>316</v>
      </c>
      <c r="P31" s="83">
        <v>106.90725999999999</v>
      </c>
      <c r="Q31" s="83">
        <v>-6.5270999999999999</v>
      </c>
      <c r="R31" s="82" t="s">
        <v>319</v>
      </c>
      <c r="S31" s="82" t="s">
        <v>977</v>
      </c>
      <c r="T31" s="82" t="s">
        <v>993</v>
      </c>
      <c r="U31" s="82"/>
      <c r="V31" s="82">
        <v>91</v>
      </c>
      <c r="W31" s="82" t="s">
        <v>1028</v>
      </c>
      <c r="X31" s="82" t="s">
        <v>1035</v>
      </c>
      <c r="Y31" s="88">
        <v>44167</v>
      </c>
      <c r="Z31" s="75"/>
      <c r="AA31" s="75"/>
      <c r="AB31" s="75"/>
      <c r="AC31" s="75"/>
      <c r="AD31" s="75"/>
    </row>
    <row r="32" spans="1:31" ht="15.75" thickBot="1">
      <c r="B32" s="81">
        <v>44166</v>
      </c>
      <c r="C32" s="82" t="s">
        <v>211</v>
      </c>
      <c r="D32" s="82" t="s">
        <v>883</v>
      </c>
      <c r="E32" s="82" t="s">
        <v>995</v>
      </c>
      <c r="F32" s="82" t="s">
        <v>1008</v>
      </c>
      <c r="G32" s="82" t="s">
        <v>13</v>
      </c>
      <c r="H32" s="82" t="s">
        <v>972</v>
      </c>
      <c r="I32" s="82"/>
      <c r="J32" s="82">
        <v>106.69070000000001</v>
      </c>
      <c r="K32" s="82">
        <v>-6.5267999999999997</v>
      </c>
      <c r="L32" s="82">
        <v>43</v>
      </c>
      <c r="M32" s="82">
        <v>40</v>
      </c>
      <c r="N32" s="75">
        <v>150</v>
      </c>
      <c r="O32" s="83" t="s">
        <v>314</v>
      </c>
      <c r="P32" s="83">
        <v>106.90799</v>
      </c>
      <c r="Q32" s="83">
        <v>-6.52677</v>
      </c>
      <c r="R32" s="82" t="s">
        <v>319</v>
      </c>
      <c r="S32" s="82" t="s">
        <v>977</v>
      </c>
      <c r="T32" s="82" t="s">
        <v>993</v>
      </c>
      <c r="U32" s="82"/>
      <c r="V32" s="82">
        <v>14</v>
      </c>
      <c r="W32" s="82" t="s">
        <v>1028</v>
      </c>
      <c r="X32" s="82" t="s">
        <v>1030</v>
      </c>
      <c r="Y32" s="88">
        <v>44167</v>
      </c>
      <c r="Z32" s="75"/>
      <c r="AA32" s="75"/>
      <c r="AB32" s="75"/>
      <c r="AC32" s="75"/>
      <c r="AD32" s="75"/>
    </row>
    <row r="33" spans="2:29" ht="15.75" thickBot="1">
      <c r="N33" s="83">
        <v>150</v>
      </c>
    </row>
    <row r="34" spans="2:29" ht="15.75" thickBot="1"/>
    <row r="35" spans="2:29" ht="15.75" thickBot="1">
      <c r="B35" s="114" t="s">
        <v>943</v>
      </c>
      <c r="C35" s="115" t="s">
        <v>1006</v>
      </c>
      <c r="D35" s="115" t="s">
        <v>1054</v>
      </c>
      <c r="E35" s="115" t="s">
        <v>946</v>
      </c>
      <c r="F35" s="115" t="s">
        <v>947</v>
      </c>
      <c r="G35" s="115" t="s">
        <v>81</v>
      </c>
      <c r="H35" s="115" t="s">
        <v>948</v>
      </c>
      <c r="I35" s="115" t="s">
        <v>949</v>
      </c>
      <c r="J35" s="115" t="s">
        <v>950</v>
      </c>
      <c r="K35" s="115" t="s">
        <v>951</v>
      </c>
      <c r="L35" s="115" t="s">
        <v>952</v>
      </c>
      <c r="M35" s="115" t="s">
        <v>953</v>
      </c>
      <c r="N35" s="116" t="s">
        <v>955</v>
      </c>
      <c r="O35" s="116" t="s">
        <v>956</v>
      </c>
      <c r="P35" s="116" t="s">
        <v>957</v>
      </c>
      <c r="Q35" s="116" t="s">
        <v>1007</v>
      </c>
      <c r="R35" s="116" t="s">
        <v>958</v>
      </c>
      <c r="S35" s="116" t="s">
        <v>959</v>
      </c>
      <c r="T35" s="116" t="s">
        <v>960</v>
      </c>
      <c r="U35" s="116" t="s">
        <v>961</v>
      </c>
      <c r="V35" s="117" t="s">
        <v>962</v>
      </c>
      <c r="W35" s="117" t="s">
        <v>963</v>
      </c>
      <c r="X35" s="117" t="s">
        <v>1027</v>
      </c>
      <c r="Y35" s="118" t="s">
        <v>965</v>
      </c>
      <c r="Z35" s="118" t="s">
        <v>966</v>
      </c>
      <c r="AA35" s="118" t="s">
        <v>967</v>
      </c>
      <c r="AB35" s="118" t="s">
        <v>968</v>
      </c>
      <c r="AC35" s="118" t="s">
        <v>969</v>
      </c>
    </row>
    <row r="36" spans="2:29" ht="45.75" thickBot="1">
      <c r="B36" s="119">
        <v>44172</v>
      </c>
      <c r="C36" s="120" t="s">
        <v>197</v>
      </c>
      <c r="D36" s="121" t="s">
        <v>919</v>
      </c>
      <c r="E36" s="122"/>
      <c r="F36" s="123" t="s">
        <v>1008</v>
      </c>
      <c r="G36" s="123" t="s">
        <v>971</v>
      </c>
      <c r="H36" s="123" t="s">
        <v>26</v>
      </c>
      <c r="I36" s="123" t="s">
        <v>1009</v>
      </c>
      <c r="J36" s="123">
        <v>106.65900999999999</v>
      </c>
      <c r="K36" s="123">
        <v>-6.3771300000000002</v>
      </c>
      <c r="L36" s="123">
        <v>40</v>
      </c>
      <c r="M36" s="123">
        <v>30</v>
      </c>
      <c r="N36" s="121" t="s">
        <v>179</v>
      </c>
      <c r="O36" s="123">
        <v>106.65787</v>
      </c>
      <c r="P36" s="123">
        <v>-6.3700400000000004</v>
      </c>
      <c r="Q36" s="123" t="s">
        <v>1010</v>
      </c>
      <c r="R36" s="123" t="s">
        <v>319</v>
      </c>
      <c r="S36" s="123" t="s">
        <v>1011</v>
      </c>
      <c r="T36" s="123" t="s">
        <v>1012</v>
      </c>
      <c r="U36" s="123">
        <v>789</v>
      </c>
      <c r="V36" s="124" t="s">
        <v>1033</v>
      </c>
      <c r="W36" s="120" t="s">
        <v>1055</v>
      </c>
      <c r="X36" s="125">
        <v>44172</v>
      </c>
      <c r="Y36" s="126" t="s">
        <v>1056</v>
      </c>
      <c r="Z36" s="126"/>
      <c r="AA36" s="126"/>
      <c r="AB36" s="126"/>
      <c r="AC36" s="126"/>
    </row>
    <row r="37" spans="2:29" ht="45.75" thickBot="1">
      <c r="B37" s="76">
        <v>44172</v>
      </c>
      <c r="C37" s="127" t="s">
        <v>197</v>
      </c>
      <c r="D37" s="128" t="s">
        <v>919</v>
      </c>
      <c r="E37" s="129"/>
      <c r="F37" s="92" t="s">
        <v>1008</v>
      </c>
      <c r="G37" s="92" t="s">
        <v>971</v>
      </c>
      <c r="H37" s="92" t="s">
        <v>26</v>
      </c>
      <c r="I37" s="92" t="s">
        <v>1009</v>
      </c>
      <c r="J37" s="92">
        <v>106.65900999999999</v>
      </c>
      <c r="K37" s="92">
        <v>-6.3771300000000002</v>
      </c>
      <c r="L37" s="92">
        <v>40</v>
      </c>
      <c r="M37" s="92">
        <v>30</v>
      </c>
      <c r="N37" s="128" t="s">
        <v>178</v>
      </c>
      <c r="O37" s="92">
        <v>106.66292</v>
      </c>
      <c r="P37" s="92">
        <v>-6.3703799999999999</v>
      </c>
      <c r="Q37" s="92" t="s">
        <v>1010</v>
      </c>
      <c r="R37" s="92" t="s">
        <v>319</v>
      </c>
      <c r="S37" s="92" t="s">
        <v>1011</v>
      </c>
      <c r="T37" s="92" t="s">
        <v>1012</v>
      </c>
      <c r="U37" s="92">
        <v>867</v>
      </c>
      <c r="V37" s="130" t="s">
        <v>1033</v>
      </c>
      <c r="W37" s="127" t="s">
        <v>1055</v>
      </c>
      <c r="X37" s="131">
        <v>44172</v>
      </c>
      <c r="Y37" s="132" t="s">
        <v>1056</v>
      </c>
      <c r="Z37" s="132"/>
      <c r="AA37" s="132"/>
      <c r="AB37" s="132"/>
      <c r="AC37" s="132"/>
    </row>
    <row r="38" spans="2:29" ht="15.75" thickBot="1">
      <c r="B38" s="76">
        <v>44172</v>
      </c>
      <c r="C38" s="133" t="s">
        <v>190</v>
      </c>
      <c r="D38" s="128" t="s">
        <v>891</v>
      </c>
      <c r="E38" s="129" t="s">
        <v>1057</v>
      </c>
      <c r="F38" s="92" t="s">
        <v>1008</v>
      </c>
      <c r="G38" s="92" t="s">
        <v>971</v>
      </c>
      <c r="H38" s="92" t="s">
        <v>26</v>
      </c>
      <c r="I38" s="92" t="s">
        <v>1009</v>
      </c>
      <c r="J38" s="92">
        <v>106.69070000000001</v>
      </c>
      <c r="K38" s="92">
        <v>-6.3913000000000002</v>
      </c>
      <c r="L38" s="92">
        <v>35</v>
      </c>
      <c r="M38" s="92">
        <v>26</v>
      </c>
      <c r="N38" s="128" t="s">
        <v>316</v>
      </c>
      <c r="O38" s="128">
        <v>106.69319</v>
      </c>
      <c r="P38" s="128">
        <v>-6.3894299999999999</v>
      </c>
      <c r="Q38" s="92" t="s">
        <v>1010</v>
      </c>
      <c r="R38" s="92" t="s">
        <v>319</v>
      </c>
      <c r="S38" s="92" t="s">
        <v>1011</v>
      </c>
      <c r="T38" s="92" t="s">
        <v>1012</v>
      </c>
      <c r="U38" s="92">
        <v>345.15</v>
      </c>
      <c r="V38" s="134" t="s">
        <v>1028</v>
      </c>
      <c r="W38" s="92" t="s">
        <v>1058</v>
      </c>
      <c r="X38" s="135">
        <v>44172</v>
      </c>
      <c r="Y38" s="136" t="s">
        <v>981</v>
      </c>
      <c r="Z38" s="136" t="s">
        <v>1059</v>
      </c>
      <c r="AA38" s="136">
        <v>0.3</v>
      </c>
      <c r="AB38" s="136"/>
      <c r="AC38" s="136"/>
    </row>
    <row r="39" spans="2:29" ht="15.75" thickBot="1">
      <c r="B39" s="76">
        <v>44172</v>
      </c>
      <c r="C39" s="137" t="s">
        <v>189</v>
      </c>
      <c r="D39" s="128" t="s">
        <v>887</v>
      </c>
      <c r="E39" s="129" t="s">
        <v>1060</v>
      </c>
      <c r="F39" s="92" t="s">
        <v>1008</v>
      </c>
      <c r="G39" s="92" t="s">
        <v>971</v>
      </c>
      <c r="H39" s="92" t="s">
        <v>26</v>
      </c>
      <c r="I39" s="92" t="s">
        <v>1016</v>
      </c>
      <c r="J39" s="92">
        <v>106.65947</v>
      </c>
      <c r="K39" s="92">
        <v>-6.6196900000000003</v>
      </c>
      <c r="L39" s="92">
        <v>49</v>
      </c>
      <c r="M39" s="92">
        <v>30</v>
      </c>
      <c r="N39" s="128" t="s">
        <v>316</v>
      </c>
      <c r="O39" s="92">
        <v>106.65864999999999</v>
      </c>
      <c r="P39" s="92">
        <v>-6.6185099999999997</v>
      </c>
      <c r="Q39" s="92" t="s">
        <v>1010</v>
      </c>
      <c r="R39" s="92" t="s">
        <v>319</v>
      </c>
      <c r="S39" s="92" t="s">
        <v>1011</v>
      </c>
      <c r="T39" s="92" t="s">
        <v>1012</v>
      </c>
      <c r="U39" s="92">
        <v>160</v>
      </c>
      <c r="V39" s="134" t="s">
        <v>1028</v>
      </c>
      <c r="W39" s="92" t="s">
        <v>1061</v>
      </c>
      <c r="X39" s="135">
        <v>44172</v>
      </c>
      <c r="Y39" s="136" t="s">
        <v>981</v>
      </c>
      <c r="Z39" s="136" t="s">
        <v>1062</v>
      </c>
      <c r="AA39" s="136">
        <v>0.3</v>
      </c>
      <c r="AB39" s="136"/>
      <c r="AC39" s="136"/>
    </row>
    <row r="40" spans="2:29" ht="15.75" thickBot="1">
      <c r="B40" s="76">
        <v>44172</v>
      </c>
      <c r="C40" s="137" t="s">
        <v>189</v>
      </c>
      <c r="D40" s="128" t="s">
        <v>887</v>
      </c>
      <c r="E40" s="129" t="s">
        <v>1060</v>
      </c>
      <c r="F40" s="92" t="s">
        <v>1008</v>
      </c>
      <c r="G40" s="92" t="s">
        <v>971</v>
      </c>
      <c r="H40" s="92" t="s">
        <v>26</v>
      </c>
      <c r="I40" s="92" t="s">
        <v>1016</v>
      </c>
      <c r="J40" s="92">
        <v>106.65947</v>
      </c>
      <c r="K40" s="92">
        <v>-6.6196900000000003</v>
      </c>
      <c r="L40" s="92">
        <v>49</v>
      </c>
      <c r="M40" s="92">
        <v>30</v>
      </c>
      <c r="N40" s="128" t="s">
        <v>314</v>
      </c>
      <c r="O40" s="92">
        <v>106.65853</v>
      </c>
      <c r="P40" s="92">
        <v>-6.6181999999999999</v>
      </c>
      <c r="Q40" s="92" t="s">
        <v>1010</v>
      </c>
      <c r="R40" s="92" t="s">
        <v>319</v>
      </c>
      <c r="S40" s="92" t="s">
        <v>1011</v>
      </c>
      <c r="T40" s="92" t="s">
        <v>1012</v>
      </c>
      <c r="U40" s="92">
        <v>193</v>
      </c>
      <c r="V40" s="134" t="s">
        <v>1028</v>
      </c>
      <c r="W40" s="129"/>
      <c r="X40" s="135">
        <v>44172</v>
      </c>
      <c r="Y40" s="136" t="s">
        <v>981</v>
      </c>
      <c r="Z40" s="136" t="s">
        <v>1062</v>
      </c>
      <c r="AA40" s="136">
        <v>0.3</v>
      </c>
      <c r="AB40" s="136"/>
      <c r="AC40" s="136"/>
    </row>
    <row r="41" spans="2:29" ht="45.75" thickBot="1">
      <c r="B41" s="76">
        <v>44172</v>
      </c>
      <c r="C41" s="127" t="s">
        <v>194</v>
      </c>
      <c r="D41" s="128" t="s">
        <v>907</v>
      </c>
      <c r="E41" s="129"/>
      <c r="F41" s="92" t="s">
        <v>1008</v>
      </c>
      <c r="G41" s="92" t="s">
        <v>987</v>
      </c>
      <c r="H41" s="92" t="s">
        <v>21</v>
      </c>
      <c r="I41" s="92" t="s">
        <v>826</v>
      </c>
      <c r="J41" s="92">
        <v>106.59571</v>
      </c>
      <c r="K41" s="92">
        <v>-6.1677499999999998</v>
      </c>
      <c r="L41" s="92">
        <v>35</v>
      </c>
      <c r="M41" s="92">
        <v>30</v>
      </c>
      <c r="N41" s="128" t="s">
        <v>316</v>
      </c>
      <c r="O41" s="92">
        <v>106.59575</v>
      </c>
      <c r="P41" s="92">
        <v>-6.1676599999999997</v>
      </c>
      <c r="Q41" s="92" t="s">
        <v>1010</v>
      </c>
      <c r="R41" s="92" t="s">
        <v>1019</v>
      </c>
      <c r="S41" s="92" t="s">
        <v>1020</v>
      </c>
      <c r="T41" s="92" t="s">
        <v>1021</v>
      </c>
      <c r="U41" s="92">
        <v>3</v>
      </c>
      <c r="V41" s="130" t="s">
        <v>1033</v>
      </c>
      <c r="W41" s="127" t="s">
        <v>1063</v>
      </c>
      <c r="X41" s="131">
        <v>44172</v>
      </c>
      <c r="Y41" s="132" t="s">
        <v>1056</v>
      </c>
      <c r="Z41" s="132"/>
      <c r="AA41" s="132"/>
      <c r="AB41" s="132"/>
      <c r="AC41" s="132"/>
    </row>
    <row r="42" spans="2:29" ht="15.75" thickBot="1">
      <c r="B42" s="76">
        <v>44172</v>
      </c>
      <c r="C42" s="137" t="s">
        <v>192</v>
      </c>
      <c r="D42" s="92" t="s">
        <v>899</v>
      </c>
      <c r="E42" s="129" t="s">
        <v>1064</v>
      </c>
      <c r="F42" s="92" t="s">
        <v>1008</v>
      </c>
      <c r="G42" s="92" t="s">
        <v>987</v>
      </c>
      <c r="H42" s="92" t="s">
        <v>19</v>
      </c>
      <c r="I42" s="92" t="s">
        <v>1023</v>
      </c>
      <c r="J42" s="92">
        <v>106.47811</v>
      </c>
      <c r="K42" s="92">
        <v>-6.2436170000000004</v>
      </c>
      <c r="L42" s="92">
        <v>39</v>
      </c>
      <c r="M42" s="92">
        <v>30</v>
      </c>
      <c r="N42" s="128" t="s">
        <v>316</v>
      </c>
      <c r="O42" s="92">
        <v>106.47498</v>
      </c>
      <c r="P42" s="92">
        <v>-6.2458900000000002</v>
      </c>
      <c r="Q42" s="92" t="s">
        <v>1010</v>
      </c>
      <c r="R42" s="92" t="s">
        <v>319</v>
      </c>
      <c r="S42" s="92" t="s">
        <v>1024</v>
      </c>
      <c r="T42" s="92" t="s">
        <v>1012</v>
      </c>
      <c r="U42" s="92">
        <v>430</v>
      </c>
      <c r="V42" s="134" t="s">
        <v>1028</v>
      </c>
      <c r="W42" s="92" t="s">
        <v>1065</v>
      </c>
      <c r="X42" s="135">
        <v>44172</v>
      </c>
      <c r="Y42" s="136" t="s">
        <v>981</v>
      </c>
      <c r="Z42" s="136" t="s">
        <v>1066</v>
      </c>
      <c r="AA42" s="136">
        <v>0.3</v>
      </c>
      <c r="AB42" s="136"/>
      <c r="AC42" s="136"/>
    </row>
    <row r="43" spans="2:29" ht="15.75" thickBot="1">
      <c r="B43" s="76">
        <v>44172</v>
      </c>
      <c r="C43" s="137" t="s">
        <v>195</v>
      </c>
      <c r="D43" s="92" t="s">
        <v>911</v>
      </c>
      <c r="E43" s="129" t="s">
        <v>1067</v>
      </c>
      <c r="F43" s="92" t="s">
        <v>1008</v>
      </c>
      <c r="G43" s="92" t="s">
        <v>20</v>
      </c>
      <c r="H43" s="92" t="s">
        <v>988</v>
      </c>
      <c r="I43" s="92" t="s">
        <v>989</v>
      </c>
      <c r="J43" s="92">
        <v>106.64953</v>
      </c>
      <c r="K43" s="92">
        <v>-6.1117949999999999</v>
      </c>
      <c r="L43" s="92">
        <v>35</v>
      </c>
      <c r="M43" s="92">
        <v>30</v>
      </c>
      <c r="N43" s="92" t="s">
        <v>316</v>
      </c>
      <c r="O43" s="128">
        <v>106.64662</v>
      </c>
      <c r="P43" s="128">
        <v>-6.1077899999999996</v>
      </c>
      <c r="Q43" s="92" t="s">
        <v>1010</v>
      </c>
      <c r="R43" s="92" t="s">
        <v>1024</v>
      </c>
      <c r="S43" s="92" t="s">
        <v>978</v>
      </c>
      <c r="T43" s="129"/>
      <c r="U43" s="92">
        <v>547</v>
      </c>
      <c r="V43" s="138" t="s">
        <v>1031</v>
      </c>
      <c r="W43" s="92" t="s">
        <v>1068</v>
      </c>
      <c r="X43" s="135">
        <v>44172</v>
      </c>
      <c r="Y43" s="136" t="s">
        <v>981</v>
      </c>
      <c r="Z43" s="136" t="s">
        <v>1069</v>
      </c>
      <c r="AA43" s="136">
        <v>0.3</v>
      </c>
      <c r="AB43" s="136"/>
      <c r="AC43" s="136"/>
    </row>
    <row r="46" spans="2:29">
      <c r="D46" t="s">
        <v>1082</v>
      </c>
      <c r="E46" t="s">
        <v>1083</v>
      </c>
    </row>
    <row r="47" spans="2:29">
      <c r="C47" s="576" t="s">
        <v>2373</v>
      </c>
      <c r="D47" s="576" t="s">
        <v>2372</v>
      </c>
      <c r="E47" s="576" t="s">
        <v>2374</v>
      </c>
      <c r="F47" s="576" t="s">
        <v>1097</v>
      </c>
      <c r="G47" s="576" t="s">
        <v>2375</v>
      </c>
      <c r="H47" s="576" t="s">
        <v>2376</v>
      </c>
      <c r="I47" s="576" t="s">
        <v>2377</v>
      </c>
      <c r="J47" s="576" t="s">
        <v>2378</v>
      </c>
      <c r="K47" s="576" t="s">
        <v>2379</v>
      </c>
      <c r="L47" s="576" t="s">
        <v>2381</v>
      </c>
      <c r="M47" s="576" t="s">
        <v>2380</v>
      </c>
    </row>
    <row r="48" spans="2:29">
      <c r="C48" s="1035" t="s">
        <v>2371</v>
      </c>
      <c r="D48" s="1035" t="s">
        <v>26</v>
      </c>
      <c r="E48" s="1035" t="s">
        <v>13</v>
      </c>
      <c r="F48" s="1035">
        <v>150</v>
      </c>
      <c r="G48" s="1035">
        <v>45</v>
      </c>
      <c r="H48" s="1035" t="s">
        <v>1011</v>
      </c>
      <c r="I48" s="1035">
        <v>106.64747800000001</v>
      </c>
      <c r="J48" s="1035">
        <v>-6.6466750000000001</v>
      </c>
      <c r="K48" s="3" t="s">
        <v>316</v>
      </c>
      <c r="L48" s="3">
        <v>106.648269</v>
      </c>
      <c r="M48" s="3">
        <v>-6.6458909999999998</v>
      </c>
    </row>
    <row r="49" spans="3:13">
      <c r="C49" s="1035"/>
      <c r="D49" s="1035"/>
      <c r="E49" s="1035"/>
      <c r="F49" s="1035"/>
      <c r="G49" s="1035"/>
      <c r="H49" s="1035"/>
      <c r="I49" s="1035"/>
      <c r="J49" s="1035"/>
      <c r="K49" s="3" t="s">
        <v>314</v>
      </c>
      <c r="L49" s="3">
        <v>106.64828199999999</v>
      </c>
      <c r="M49" s="3">
        <v>-6.6471210000000003</v>
      </c>
    </row>
    <row r="50" spans="3:13">
      <c r="C50" s="1035"/>
      <c r="D50" s="1035"/>
      <c r="E50" s="1035"/>
      <c r="F50" s="1035"/>
      <c r="G50" s="1035"/>
      <c r="H50" s="1035"/>
      <c r="I50" s="1035"/>
      <c r="J50" s="1035"/>
      <c r="K50" s="3" t="s">
        <v>179</v>
      </c>
      <c r="L50" s="3">
        <v>106.647486</v>
      </c>
      <c r="M50" s="3">
        <v>-6.6479309999999998</v>
      </c>
    </row>
  </sheetData>
  <mergeCells count="8">
    <mergeCell ref="J48:J50"/>
    <mergeCell ref="I48:I50"/>
    <mergeCell ref="C48:C50"/>
    <mergeCell ref="D48:D50"/>
    <mergeCell ref="E48:E50"/>
    <mergeCell ref="F48:F50"/>
    <mergeCell ref="G48:G50"/>
    <mergeCell ref="H48:H50"/>
  </mergeCells>
  <conditionalFormatting sqref="K2">
    <cfRule type="duplicateValues" dxfId="166" priority="22"/>
  </conditionalFormatting>
  <conditionalFormatting sqref="L2">
    <cfRule type="duplicateValues" dxfId="165" priority="21"/>
  </conditionalFormatting>
  <conditionalFormatting sqref="K4">
    <cfRule type="duplicateValues" dxfId="164" priority="20"/>
  </conditionalFormatting>
  <conditionalFormatting sqref="L4">
    <cfRule type="duplicateValues" dxfId="163" priority="19"/>
  </conditionalFormatting>
  <conditionalFormatting sqref="K6">
    <cfRule type="duplicateValues" dxfId="162" priority="18"/>
  </conditionalFormatting>
  <conditionalFormatting sqref="L6">
    <cfRule type="duplicateValues" dxfId="161" priority="17"/>
  </conditionalFormatting>
  <conditionalFormatting sqref="K9">
    <cfRule type="duplicateValues" dxfId="160" priority="16"/>
  </conditionalFormatting>
  <conditionalFormatting sqref="L9">
    <cfRule type="duplicateValues" dxfId="159" priority="15"/>
  </conditionalFormatting>
  <conditionalFormatting sqref="K11">
    <cfRule type="duplicateValues" dxfId="158" priority="14"/>
  </conditionalFormatting>
  <conditionalFormatting sqref="L11">
    <cfRule type="duplicateValues" dxfId="157" priority="13"/>
  </conditionalFormatting>
  <conditionalFormatting sqref="J2">
    <cfRule type="duplicateValues" dxfId="156" priority="12"/>
  </conditionalFormatting>
  <conditionalFormatting sqref="K2">
    <cfRule type="duplicateValues" dxfId="155" priority="11"/>
  </conditionalFormatting>
  <conditionalFormatting sqref="J4">
    <cfRule type="duplicateValues" dxfId="154" priority="10"/>
  </conditionalFormatting>
  <conditionalFormatting sqref="K4">
    <cfRule type="duplicateValues" dxfId="153" priority="9"/>
  </conditionalFormatting>
  <conditionalFormatting sqref="J6">
    <cfRule type="duplicateValues" dxfId="152" priority="8"/>
  </conditionalFormatting>
  <conditionalFormatting sqref="K6">
    <cfRule type="duplicateValues" dxfId="151" priority="7"/>
  </conditionalFormatting>
  <conditionalFormatting sqref="J9">
    <cfRule type="duplicateValues" dxfId="150" priority="6"/>
  </conditionalFormatting>
  <conditionalFormatting sqref="K9">
    <cfRule type="duplicateValues" dxfId="149" priority="5"/>
  </conditionalFormatting>
  <conditionalFormatting sqref="J11">
    <cfRule type="duplicateValues" dxfId="148" priority="4"/>
  </conditionalFormatting>
  <conditionalFormatting sqref="K11">
    <cfRule type="duplicateValues" dxfId="147" priority="3"/>
  </conditionalFormatting>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9" tint="-0.249977111117893"/>
  </sheetPr>
  <dimension ref="A1:M114"/>
  <sheetViews>
    <sheetView tabSelected="1" zoomScaleNormal="100" workbookViewId="0">
      <selection activeCell="A23" sqref="A23:E38"/>
    </sheetView>
  </sheetViews>
  <sheetFormatPr defaultColWidth="9.140625" defaultRowHeight="15"/>
  <cols>
    <col min="1" max="1" width="3.85546875" style="148" bestFit="1" customWidth="1"/>
    <col min="2" max="2" width="26.85546875" style="148" customWidth="1"/>
    <col min="3" max="3" width="32.5703125" style="148" customWidth="1"/>
    <col min="4" max="4" width="24.140625" style="148" customWidth="1"/>
    <col min="5" max="5" width="18" style="148" customWidth="1"/>
    <col min="6" max="6" width="16.85546875" style="149" hidden="1" customWidth="1"/>
    <col min="7" max="7" width="15.85546875" style="148" customWidth="1"/>
    <col min="8" max="8" width="5.5703125" style="148" customWidth="1"/>
    <col min="9" max="9" width="28.42578125" style="148" bestFit="1" customWidth="1"/>
    <col min="10" max="10" width="15" style="148" customWidth="1"/>
    <col min="11" max="11" width="18" style="148" customWidth="1"/>
    <col min="12" max="12" width="16.28515625" style="148" customWidth="1"/>
    <col min="13" max="13" width="18.42578125" style="148" customWidth="1"/>
    <col min="14" max="16384" width="9.140625" style="148"/>
  </cols>
  <sheetData>
    <row r="1" spans="1:8">
      <c r="B1" s="148" t="s">
        <v>1041</v>
      </c>
      <c r="D1" s="952" t="s">
        <v>3485</v>
      </c>
    </row>
    <row r="2" spans="1:8" hidden="1"/>
    <row r="3" spans="1:8" hidden="1"/>
    <row r="4" spans="1:8" ht="31.5" hidden="1">
      <c r="A4" s="150" t="s">
        <v>1120</v>
      </c>
      <c r="B4" s="150" t="s">
        <v>1121</v>
      </c>
      <c r="C4" s="151" t="s">
        <v>1122</v>
      </c>
      <c r="D4" s="152" t="s">
        <v>1123</v>
      </c>
      <c r="E4" s="153" t="s">
        <v>1124</v>
      </c>
      <c r="F4" s="154" t="s">
        <v>1125</v>
      </c>
      <c r="G4" s="153" t="s">
        <v>1126</v>
      </c>
    </row>
    <row r="5" spans="1:8" hidden="1">
      <c r="A5" s="155">
        <v>1</v>
      </c>
      <c r="B5" s="156" t="s">
        <v>90</v>
      </c>
      <c r="C5" s="157" t="s">
        <v>1127</v>
      </c>
      <c r="D5" s="158">
        <v>17000000</v>
      </c>
      <c r="E5" s="158">
        <f>D5*11</f>
        <v>187000000</v>
      </c>
      <c r="F5" s="159"/>
      <c r="G5" s="160">
        <v>385000000</v>
      </c>
      <c r="H5" s="160">
        <v>35000000</v>
      </c>
    </row>
    <row r="6" spans="1:8" hidden="1">
      <c r="A6" s="155">
        <v>2</v>
      </c>
      <c r="B6" s="156" t="s">
        <v>1128</v>
      </c>
      <c r="C6" s="157">
        <v>1</v>
      </c>
      <c r="D6" s="158">
        <v>3000000</v>
      </c>
      <c r="E6" s="158">
        <f>D6</f>
        <v>3000000</v>
      </c>
      <c r="F6" s="161"/>
      <c r="G6" s="162"/>
    </row>
    <row r="7" spans="1:8" hidden="1">
      <c r="A7" s="163">
        <v>3</v>
      </c>
      <c r="B7" s="164" t="s">
        <v>174</v>
      </c>
      <c r="C7" s="163"/>
      <c r="D7" s="158"/>
      <c r="E7" s="158"/>
      <c r="F7" s="165"/>
      <c r="G7" s="166"/>
    </row>
    <row r="8" spans="1:8" ht="60" hidden="1">
      <c r="A8" s="167"/>
      <c r="B8" s="168" t="s">
        <v>1129</v>
      </c>
      <c r="C8" s="167" t="s">
        <v>1130</v>
      </c>
      <c r="D8" s="158">
        <v>25700000</v>
      </c>
      <c r="E8" s="158">
        <f>D8</f>
        <v>25700000</v>
      </c>
      <c r="F8" s="169" t="s">
        <v>1131</v>
      </c>
      <c r="G8" s="170"/>
    </row>
    <row r="9" spans="1:8" ht="45" hidden="1">
      <c r="A9" s="167"/>
      <c r="B9" s="168" t="s">
        <v>1132</v>
      </c>
      <c r="C9" s="167" t="s">
        <v>1130</v>
      </c>
      <c r="D9" s="158">
        <v>5500000</v>
      </c>
      <c r="E9" s="158">
        <f>D9</f>
        <v>5500000</v>
      </c>
      <c r="F9" s="169" t="s">
        <v>1133</v>
      </c>
      <c r="G9" s="170"/>
    </row>
    <row r="10" spans="1:8" hidden="1">
      <c r="A10" s="163"/>
      <c r="B10" s="171" t="s">
        <v>1134</v>
      </c>
      <c r="C10" s="160" t="s">
        <v>1135</v>
      </c>
      <c r="D10" s="160">
        <v>0</v>
      </c>
      <c r="E10" s="160">
        <v>25000000</v>
      </c>
      <c r="F10" s="172"/>
      <c r="G10" s="166"/>
    </row>
    <row r="11" spans="1:8" hidden="1">
      <c r="A11" s="163"/>
      <c r="B11" s="173" t="s">
        <v>1136</v>
      </c>
      <c r="C11" s="174" t="s">
        <v>1130</v>
      </c>
      <c r="D11" s="158">
        <v>10000000</v>
      </c>
      <c r="E11" s="158">
        <f>D11</f>
        <v>10000000</v>
      </c>
      <c r="F11" s="172"/>
      <c r="G11" s="166"/>
    </row>
    <row r="12" spans="1:8" hidden="1">
      <c r="A12" s="155"/>
      <c r="B12" s="175" t="s">
        <v>1137</v>
      </c>
      <c r="C12" s="155"/>
      <c r="D12" s="158"/>
      <c r="E12" s="158">
        <f>SUM(E8:E11)</f>
        <v>66200000</v>
      </c>
      <c r="F12" s="176"/>
      <c r="G12" s="160">
        <v>170000000</v>
      </c>
    </row>
    <row r="13" spans="1:8" hidden="1">
      <c r="A13" s="155">
        <v>4</v>
      </c>
      <c r="B13" s="156" t="s">
        <v>1138</v>
      </c>
      <c r="C13" s="157">
        <v>1</v>
      </c>
      <c r="D13" s="158">
        <v>33800000</v>
      </c>
      <c r="E13" s="158">
        <f>D13</f>
        <v>33800000</v>
      </c>
      <c r="F13" s="176" t="s">
        <v>1139</v>
      </c>
      <c r="G13" s="177"/>
    </row>
    <row r="14" spans="1:8" hidden="1">
      <c r="A14" s="155">
        <v>5</v>
      </c>
      <c r="B14" s="156" t="s">
        <v>1140</v>
      </c>
      <c r="C14" s="178" t="s">
        <v>1141</v>
      </c>
      <c r="D14" s="158" t="s">
        <v>1020</v>
      </c>
      <c r="E14" s="158" t="str">
        <f>D14</f>
        <v>MCP 20</v>
      </c>
      <c r="F14" s="176" t="s">
        <v>1141</v>
      </c>
      <c r="G14" s="162"/>
    </row>
    <row r="15" spans="1:8" hidden="1">
      <c r="A15" s="155">
        <v>6</v>
      </c>
      <c r="B15" s="156" t="s">
        <v>1140</v>
      </c>
      <c r="C15" s="178" t="s">
        <v>1024</v>
      </c>
      <c r="D15" s="158">
        <v>0</v>
      </c>
      <c r="E15" s="158">
        <f>D15</f>
        <v>0</v>
      </c>
      <c r="F15" s="176" t="s">
        <v>1024</v>
      </c>
      <c r="G15" s="162"/>
    </row>
    <row r="16" spans="1:8" hidden="1">
      <c r="A16" s="163"/>
      <c r="B16" s="164"/>
      <c r="C16" s="163"/>
      <c r="D16" s="179"/>
      <c r="E16" s="166"/>
      <c r="F16" s="165"/>
      <c r="G16" s="166"/>
    </row>
    <row r="17" spans="1:9" hidden="1">
      <c r="A17" s="180">
        <v>7</v>
      </c>
      <c r="B17" s="181" t="s">
        <v>1142</v>
      </c>
      <c r="C17" s="180"/>
      <c r="D17" s="182"/>
      <c r="E17" s="183" t="e">
        <f>E5+E6+E12+E13+E14</f>
        <v>#VALUE!</v>
      </c>
      <c r="F17" s="184"/>
      <c r="G17" s="183"/>
    </row>
    <row r="18" spans="1:9" ht="45" hidden="1">
      <c r="A18" s="180">
        <v>8</v>
      </c>
      <c r="B18" s="181" t="s">
        <v>1143</v>
      </c>
      <c r="C18" s="180"/>
      <c r="D18" s="182"/>
      <c r="E18" s="183" t="e">
        <f>E17+E15</f>
        <v>#VALUE!</v>
      </c>
      <c r="F18" s="184" t="s">
        <v>1144</v>
      </c>
      <c r="G18" s="183"/>
    </row>
    <row r="19" spans="1:9" hidden="1"/>
    <row r="20" spans="1:9" hidden="1"/>
    <row r="21" spans="1:9" hidden="1">
      <c r="F21" s="185">
        <f>E12-G12</f>
        <v>-103800000</v>
      </c>
    </row>
    <row r="22" spans="1:9" ht="15.75">
      <c r="D22" s="557"/>
    </row>
    <row r="23" spans="1:9" ht="31.5">
      <c r="A23" s="150" t="s">
        <v>1120</v>
      </c>
      <c r="B23" s="150" t="s">
        <v>1121</v>
      </c>
      <c r="C23" s="151" t="s">
        <v>1122</v>
      </c>
      <c r="D23" s="152" t="s">
        <v>1123</v>
      </c>
      <c r="E23" s="153" t="s">
        <v>3494</v>
      </c>
      <c r="F23" s="153" t="s">
        <v>2252</v>
      </c>
    </row>
    <row r="24" spans="1:9">
      <c r="A24" s="155">
        <v>1</v>
      </c>
      <c r="B24" s="156" t="s">
        <v>90</v>
      </c>
      <c r="C24" s="186" t="s">
        <v>3487</v>
      </c>
      <c r="D24" s="187">
        <f>VLOOKUP($D$1,Input!$B$8:$AR$293,22,0)</f>
        <v>30000000</v>
      </c>
      <c r="E24" s="187">
        <f>VLOOKUP($D$1,Input!$B$8:$AR$293,23,0)</f>
        <v>330000000</v>
      </c>
      <c r="F24" s="194">
        <f>VLOOKUP($D$1,Input!$B$8:$AR$313,20,0)</f>
        <v>0</v>
      </c>
      <c r="G24" s="188" t="e">
        <f>VLOOKUP($D$1,Input!$B$8:$AR$194,20,0)</f>
        <v>#N/A</v>
      </c>
      <c r="I24" s="148" t="s">
        <v>1145</v>
      </c>
    </row>
    <row r="25" spans="1:9">
      <c r="A25" s="155">
        <v>2</v>
      </c>
      <c r="B25" s="156" t="s">
        <v>1128</v>
      </c>
      <c r="C25" s="157">
        <v>1</v>
      </c>
      <c r="D25" s="388">
        <f>VLOOKUP($D$1,Input!$B$8:$AR$293,24,0)</f>
        <v>3000000</v>
      </c>
      <c r="E25" s="388">
        <f>D25</f>
        <v>3000000</v>
      </c>
      <c r="F25" s="189"/>
    </row>
    <row r="26" spans="1:9">
      <c r="A26" s="155">
        <v>3</v>
      </c>
      <c r="B26" s="164" t="s">
        <v>174</v>
      </c>
      <c r="C26" s="190"/>
      <c r="D26" s="388"/>
      <c r="E26" s="388"/>
      <c r="F26" s="191"/>
    </row>
    <row r="27" spans="1:9">
      <c r="A27" s="192"/>
      <c r="B27" s="193" t="s">
        <v>1146</v>
      </c>
      <c r="C27" s="194" t="str">
        <f>VLOOKUP($D$1,Input!$B$8:$AR$293,31,0)</f>
        <v>5 KK @ 1.000.000, 23 KK @500.000</v>
      </c>
      <c r="D27" s="388">
        <f>VLOOKUP($D$1,Input!$B$8:$AR$298,33,0)</f>
        <v>16500000</v>
      </c>
      <c r="E27" s="388">
        <f>D27</f>
        <v>16500000</v>
      </c>
      <c r="F27" s="191"/>
      <c r="I27" s="148">
        <v>8750000</v>
      </c>
    </row>
    <row r="28" spans="1:9">
      <c r="A28" s="163"/>
      <c r="B28" s="195" t="s">
        <v>1147</v>
      </c>
      <c r="C28" s="174" t="s">
        <v>1130</v>
      </c>
      <c r="D28" s="388">
        <f>VLOOKUP($D$1,Input!$B$8:$AR$298,25,0)</f>
        <v>25000000</v>
      </c>
      <c r="E28" s="388">
        <f>D28</f>
        <v>25000000</v>
      </c>
      <c r="F28" s="191"/>
      <c r="I28" s="148">
        <v>15000000</v>
      </c>
    </row>
    <row r="29" spans="1:9">
      <c r="A29" s="163"/>
      <c r="B29" s="196" t="s">
        <v>1148</v>
      </c>
      <c r="C29" s="197" t="s">
        <v>1130</v>
      </c>
      <c r="D29" s="388">
        <f>VLOOKUP($D$1,Input!$B$8:$AR$298,34,0)</f>
        <v>53500000</v>
      </c>
      <c r="E29" s="388">
        <f>D29</f>
        <v>53500000</v>
      </c>
      <c r="F29" s="191"/>
      <c r="I29" s="148">
        <v>62250000</v>
      </c>
    </row>
    <row r="30" spans="1:9">
      <c r="A30" s="163"/>
      <c r="B30" s="198" t="s">
        <v>1149</v>
      </c>
      <c r="C30" s="178" t="s">
        <v>1130</v>
      </c>
      <c r="D30" s="388">
        <f>VLOOKUP($D$1,Input!$B$8:$AR$298,35,0)</f>
        <v>78500000</v>
      </c>
      <c r="E30" s="199">
        <f>D30</f>
        <v>78500000</v>
      </c>
      <c r="F30" s="191"/>
      <c r="I30" s="148">
        <v>77250000</v>
      </c>
    </row>
    <row r="31" spans="1:9">
      <c r="A31" s="155"/>
      <c r="B31" s="175" t="s">
        <v>1137</v>
      </c>
      <c r="C31" s="155"/>
      <c r="D31" s="187"/>
      <c r="E31" s="200">
        <f>SUM(E27:E29)</f>
        <v>95000000</v>
      </c>
      <c r="F31" s="188"/>
      <c r="I31" s="148">
        <v>86000000</v>
      </c>
    </row>
    <row r="32" spans="1:9">
      <c r="A32" s="155"/>
      <c r="B32" s="175"/>
      <c r="C32" s="155"/>
      <c r="D32" s="187"/>
      <c r="E32" s="187"/>
      <c r="F32" s="194"/>
    </row>
    <row r="33" spans="1:13">
      <c r="A33" s="163">
        <v>4</v>
      </c>
      <c r="B33" s="164" t="s">
        <v>1150</v>
      </c>
      <c r="C33" s="197" t="s">
        <v>1130</v>
      </c>
      <c r="D33" s="388">
        <f>VLOOKUP($D$1,Input!$B$8:$AR$298,36,0)</f>
        <v>15000000</v>
      </c>
      <c r="E33" s="388">
        <f>D33</f>
        <v>15000000</v>
      </c>
      <c r="F33" s="201"/>
      <c r="G33" s="148" t="s">
        <v>1151</v>
      </c>
    </row>
    <row r="34" spans="1:13">
      <c r="A34" s="155">
        <v>5</v>
      </c>
      <c r="B34" s="156" t="s">
        <v>1152</v>
      </c>
      <c r="C34" s="178"/>
      <c r="D34" s="187">
        <f>VLOOKUP($D$1,Input!$B$8:$AR$293,39,0)</f>
        <v>0</v>
      </c>
      <c r="E34" s="187">
        <f>D34</f>
        <v>0</v>
      </c>
      <c r="F34" s="189"/>
    </row>
    <row r="35" spans="1:13">
      <c r="A35" s="155">
        <v>6</v>
      </c>
      <c r="B35" s="202" t="s">
        <v>1140</v>
      </c>
      <c r="C35" s="388" t="str">
        <f>VLOOKUP($D$1,Input!$B$8:$AR$298,38,0)</f>
        <v>SST 42m</v>
      </c>
      <c r="D35" s="187">
        <f>VLOOKUP($D$1,Input!$B$8:$AR$298,40,0)</f>
        <v>353505181</v>
      </c>
      <c r="E35" s="187">
        <f>D35</f>
        <v>353505181</v>
      </c>
      <c r="F35" s="189"/>
    </row>
    <row r="36" spans="1:13" hidden="1">
      <c r="A36" s="163"/>
      <c r="B36" s="164"/>
      <c r="C36" s="163"/>
      <c r="D36" s="203"/>
      <c r="E36" s="201"/>
      <c r="F36" s="201"/>
    </row>
    <row r="37" spans="1:13" hidden="1">
      <c r="A37" s="180">
        <v>7</v>
      </c>
      <c r="B37" s="181" t="s">
        <v>1142</v>
      </c>
      <c r="C37" s="180"/>
      <c r="D37" s="204"/>
      <c r="E37" s="205">
        <f>E24+E25+E31+E34+E33</f>
        <v>443000000</v>
      </c>
      <c r="F37" s="205"/>
      <c r="H37" s="183">
        <f>H24+H25+I31+H34+H33</f>
        <v>86000000</v>
      </c>
    </row>
    <row r="38" spans="1:13">
      <c r="A38" s="206">
        <v>7</v>
      </c>
      <c r="B38" s="207" t="s">
        <v>1153</v>
      </c>
      <c r="C38" s="206"/>
      <c r="D38" s="208"/>
      <c r="E38" s="209">
        <f>(E24+ E25 + E31+E33+E35)</f>
        <v>796505181</v>
      </c>
      <c r="F38" s="205"/>
    </row>
    <row r="41" spans="1:13">
      <c r="F41" s="185">
        <v>60000000</v>
      </c>
    </row>
    <row r="42" spans="1:13">
      <c r="F42" s="210">
        <f>F41*7.5/100</f>
        <v>4500000</v>
      </c>
    </row>
    <row r="43" spans="1:13">
      <c r="F43" s="185">
        <f>SUM(F41:F42)</f>
        <v>64500000</v>
      </c>
    </row>
    <row r="44" spans="1:13">
      <c r="B44" s="148" t="s">
        <v>3391</v>
      </c>
      <c r="I44" s="148" t="s">
        <v>3392</v>
      </c>
    </row>
    <row r="45" spans="1:13" ht="38.25" customHeight="1">
      <c r="A45" s="151" t="s">
        <v>1120</v>
      </c>
      <c r="B45" s="151" t="s">
        <v>1121</v>
      </c>
      <c r="C45" s="151" t="s">
        <v>1122</v>
      </c>
      <c r="D45" s="152" t="s">
        <v>1123</v>
      </c>
      <c r="E45" s="153" t="s">
        <v>2137</v>
      </c>
      <c r="F45" s="153" t="s">
        <v>2252</v>
      </c>
      <c r="H45" s="151" t="s">
        <v>1120</v>
      </c>
      <c r="I45" s="151" t="s">
        <v>1121</v>
      </c>
      <c r="J45" s="151" t="s">
        <v>1122</v>
      </c>
      <c r="K45" s="152" t="s">
        <v>1123</v>
      </c>
      <c r="L45" s="153" t="s">
        <v>2137</v>
      </c>
      <c r="M45" s="153" t="s">
        <v>2252</v>
      </c>
    </row>
    <row r="46" spans="1:13">
      <c r="A46" s="155">
        <v>1</v>
      </c>
      <c r="B46" s="156" t="s">
        <v>90</v>
      </c>
      <c r="C46" s="186" t="s">
        <v>2171</v>
      </c>
      <c r="D46" s="187">
        <v>17500000</v>
      </c>
      <c r="E46" s="187">
        <v>350000000</v>
      </c>
      <c r="F46" s="188">
        <v>22500000</v>
      </c>
      <c r="H46" s="155">
        <v>1</v>
      </c>
      <c r="I46" s="156" t="s">
        <v>90</v>
      </c>
      <c r="J46" s="186" t="s">
        <v>3394</v>
      </c>
      <c r="K46" s="187">
        <v>25000000</v>
      </c>
      <c r="L46" s="187">
        <v>250000000</v>
      </c>
      <c r="M46" s="194">
        <v>25000000</v>
      </c>
    </row>
    <row r="47" spans="1:13">
      <c r="A47" s="155">
        <v>2</v>
      </c>
      <c r="B47" s="156" t="s">
        <v>1128</v>
      </c>
      <c r="C47" s="157">
        <v>1</v>
      </c>
      <c r="D47" s="388">
        <v>3000000</v>
      </c>
      <c r="E47" s="388">
        <v>3000000</v>
      </c>
      <c r="F47" s="189"/>
      <c r="H47" s="155">
        <v>2</v>
      </c>
      <c r="I47" s="156" t="s">
        <v>1128</v>
      </c>
      <c r="J47" s="157">
        <v>1</v>
      </c>
      <c r="K47" s="388">
        <v>3000000</v>
      </c>
      <c r="L47" s="388">
        <v>3000000</v>
      </c>
      <c r="M47" s="189"/>
    </row>
    <row r="48" spans="1:13">
      <c r="A48" s="155">
        <v>3</v>
      </c>
      <c r="B48" s="164" t="s">
        <v>174</v>
      </c>
      <c r="C48" s="190"/>
      <c r="D48" s="388"/>
      <c r="E48" s="388"/>
      <c r="F48" s="191"/>
      <c r="H48" s="155">
        <v>3</v>
      </c>
      <c r="I48" s="164" t="s">
        <v>174</v>
      </c>
      <c r="J48" s="190"/>
      <c r="K48" s="388"/>
      <c r="L48" s="388"/>
      <c r="M48" s="191"/>
    </row>
    <row r="49" spans="1:13">
      <c r="A49" s="192"/>
      <c r="B49" s="193" t="s">
        <v>1146</v>
      </c>
      <c r="C49" s="194" t="s">
        <v>1197</v>
      </c>
      <c r="D49" s="388">
        <v>28000000</v>
      </c>
      <c r="E49" s="388">
        <v>28000000</v>
      </c>
      <c r="F49" s="191"/>
      <c r="H49" s="192"/>
      <c r="I49" s="193" t="s">
        <v>1146</v>
      </c>
      <c r="J49" s="194" t="s">
        <v>1261</v>
      </c>
      <c r="K49" s="388">
        <v>12000000</v>
      </c>
      <c r="L49" s="388">
        <v>12000000</v>
      </c>
      <c r="M49" s="191"/>
    </row>
    <row r="50" spans="1:13">
      <c r="A50" s="163"/>
      <c r="B50" s="195" t="s">
        <v>1147</v>
      </c>
      <c r="C50" s="174" t="s">
        <v>1130</v>
      </c>
      <c r="D50" s="388">
        <v>25000000</v>
      </c>
      <c r="E50" s="388">
        <v>25000000</v>
      </c>
      <c r="F50" s="191"/>
      <c r="H50" s="163"/>
      <c r="I50" s="195" t="s">
        <v>1147</v>
      </c>
      <c r="J50" s="174" t="s">
        <v>1130</v>
      </c>
      <c r="K50" s="388">
        <v>25000000</v>
      </c>
      <c r="L50" s="388">
        <v>25000000</v>
      </c>
      <c r="M50" s="191"/>
    </row>
    <row r="51" spans="1:13">
      <c r="A51" s="163"/>
      <c r="B51" s="196" t="s">
        <v>1148</v>
      </c>
      <c r="C51" s="197" t="s">
        <v>1130</v>
      </c>
      <c r="D51" s="388">
        <v>46000000</v>
      </c>
      <c r="E51" s="388">
        <v>46000000</v>
      </c>
      <c r="F51" s="191"/>
      <c r="H51" s="163"/>
      <c r="I51" s="196" t="s">
        <v>1148</v>
      </c>
      <c r="J51" s="197" t="s">
        <v>1130</v>
      </c>
      <c r="K51" s="388">
        <v>62000000</v>
      </c>
      <c r="L51" s="388">
        <v>62000000</v>
      </c>
      <c r="M51" s="191"/>
    </row>
    <row r="52" spans="1:13">
      <c r="A52" s="163"/>
      <c r="B52" s="198" t="s">
        <v>1149</v>
      </c>
      <c r="C52" s="178" t="s">
        <v>1130</v>
      </c>
      <c r="D52" s="388">
        <v>71000000</v>
      </c>
      <c r="E52" s="199">
        <v>71000000</v>
      </c>
      <c r="F52" s="191"/>
      <c r="H52" s="163"/>
      <c r="I52" s="198" t="s">
        <v>1149</v>
      </c>
      <c r="J52" s="178" t="s">
        <v>1130</v>
      </c>
      <c r="K52" s="388">
        <v>87000000</v>
      </c>
      <c r="L52" s="199">
        <v>87000000</v>
      </c>
      <c r="M52" s="191"/>
    </row>
    <row r="53" spans="1:13">
      <c r="A53" s="155"/>
      <c r="B53" s="175" t="s">
        <v>1137</v>
      </c>
      <c r="C53" s="155"/>
      <c r="D53" s="187"/>
      <c r="E53" s="200">
        <v>99000000</v>
      </c>
      <c r="F53" s="188"/>
      <c r="H53" s="155"/>
      <c r="I53" s="175" t="s">
        <v>1137</v>
      </c>
      <c r="J53" s="155"/>
      <c r="K53" s="187"/>
      <c r="L53" s="200">
        <v>99000000</v>
      </c>
      <c r="M53" s="194"/>
    </row>
    <row r="54" spans="1:13">
      <c r="A54" s="155"/>
      <c r="B54" s="175"/>
      <c r="C54" s="155"/>
      <c r="D54" s="187"/>
      <c r="E54" s="187"/>
      <c r="F54" s="194"/>
      <c r="H54" s="155"/>
      <c r="I54" s="175"/>
      <c r="J54" s="155"/>
      <c r="K54" s="187"/>
      <c r="L54" s="187"/>
      <c r="M54" s="194"/>
    </row>
    <row r="55" spans="1:13">
      <c r="A55" s="163">
        <v>4</v>
      </c>
      <c r="B55" s="164" t="s">
        <v>1150</v>
      </c>
      <c r="C55" s="197" t="s">
        <v>1130</v>
      </c>
      <c r="D55" s="388">
        <v>15000000</v>
      </c>
      <c r="E55" s="388">
        <v>15000000</v>
      </c>
      <c r="F55" s="201"/>
      <c r="H55" s="163">
        <v>4</v>
      </c>
      <c r="I55" s="164" t="s">
        <v>1150</v>
      </c>
      <c r="J55" s="197" t="s">
        <v>1130</v>
      </c>
      <c r="K55" s="388">
        <v>15000000</v>
      </c>
      <c r="L55" s="388">
        <v>15000000</v>
      </c>
      <c r="M55" s="201"/>
    </row>
    <row r="56" spans="1:13">
      <c r="A56" s="155">
        <v>5</v>
      </c>
      <c r="B56" s="156" t="s">
        <v>1152</v>
      </c>
      <c r="C56" s="178"/>
      <c r="D56" s="187">
        <v>0</v>
      </c>
      <c r="E56" s="187">
        <v>0</v>
      </c>
      <c r="F56" s="189"/>
      <c r="H56" s="155">
        <v>5</v>
      </c>
      <c r="I56" s="156" t="s">
        <v>1152</v>
      </c>
      <c r="J56" s="178"/>
      <c r="K56" s="187">
        <v>0</v>
      </c>
      <c r="L56" s="187">
        <v>0</v>
      </c>
      <c r="M56" s="189"/>
    </row>
    <row r="57" spans="1:13">
      <c r="A57" s="155">
        <v>6</v>
      </c>
      <c r="B57" s="202" t="s">
        <v>1140</v>
      </c>
      <c r="C57" s="388" t="s">
        <v>2192</v>
      </c>
      <c r="D57" s="187">
        <v>527299431</v>
      </c>
      <c r="E57" s="187">
        <v>527299431</v>
      </c>
      <c r="F57" s="189"/>
      <c r="H57" s="155">
        <v>6</v>
      </c>
      <c r="I57" s="202" t="s">
        <v>1140</v>
      </c>
      <c r="J57" s="388" t="s">
        <v>1208</v>
      </c>
      <c r="K57" s="187">
        <v>353505181</v>
      </c>
      <c r="L57" s="187">
        <v>353505181</v>
      </c>
      <c r="M57" s="189"/>
    </row>
    <row r="58" spans="1:13" hidden="1">
      <c r="A58" s="163"/>
      <c r="B58" s="164"/>
      <c r="C58" s="163"/>
      <c r="D58" s="203"/>
      <c r="E58" s="201"/>
      <c r="F58" s="201"/>
      <c r="H58" s="163"/>
      <c r="I58" s="164"/>
      <c r="J58" s="163"/>
      <c r="K58" s="203"/>
      <c r="L58" s="201"/>
      <c r="M58" s="201"/>
    </row>
    <row r="59" spans="1:13" hidden="1">
      <c r="A59" s="180">
        <v>7</v>
      </c>
      <c r="B59" s="181" t="s">
        <v>1142</v>
      </c>
      <c r="C59" s="180"/>
      <c r="D59" s="204"/>
      <c r="E59" s="205">
        <v>467000000</v>
      </c>
      <c r="F59" s="205"/>
      <c r="H59" s="180">
        <v>7</v>
      </c>
      <c r="I59" s="181" t="s">
        <v>1142</v>
      </c>
      <c r="J59" s="180"/>
      <c r="K59" s="204"/>
      <c r="L59" s="205">
        <v>367000000</v>
      </c>
      <c r="M59" s="205"/>
    </row>
    <row r="60" spans="1:13">
      <c r="A60" s="206">
        <v>7</v>
      </c>
      <c r="B60" s="207" t="s">
        <v>1153</v>
      </c>
      <c r="C60" s="206"/>
      <c r="D60" s="208"/>
      <c r="E60" s="209">
        <v>994299431</v>
      </c>
      <c r="F60" s="205"/>
      <c r="H60" s="206">
        <v>7</v>
      </c>
      <c r="I60" s="207" t="s">
        <v>1153</v>
      </c>
      <c r="J60" s="206"/>
      <c r="K60" s="208"/>
      <c r="L60" s="209">
        <v>720505181</v>
      </c>
      <c r="M60" s="205"/>
    </row>
    <row r="62" spans="1:13">
      <c r="B62" s="148" t="s">
        <v>3299</v>
      </c>
    </row>
    <row r="63" spans="1:13" ht="31.5">
      <c r="A63" s="150" t="s">
        <v>1120</v>
      </c>
      <c r="B63" s="150" t="s">
        <v>1121</v>
      </c>
      <c r="C63" s="151" t="s">
        <v>1122</v>
      </c>
      <c r="D63" s="152" t="s">
        <v>1123</v>
      </c>
      <c r="E63" s="153" t="s">
        <v>2137</v>
      </c>
      <c r="F63" s="153" t="s">
        <v>2252</v>
      </c>
    </row>
    <row r="64" spans="1:13">
      <c r="A64" s="155">
        <v>1</v>
      </c>
      <c r="B64" s="156" t="s">
        <v>90</v>
      </c>
      <c r="C64" s="186" t="s">
        <v>2171</v>
      </c>
      <c r="D64" s="187">
        <f>VLOOKUP($D$1,Input!$B$8:$AR$293,22,0)</f>
        <v>30000000</v>
      </c>
      <c r="E64" s="187">
        <f>VLOOKUP($D$1,Input!$B$8:$AR$293,23,0)</f>
        <v>330000000</v>
      </c>
      <c r="F64" s="194">
        <f>VLOOKUP($D$1,Input!$B$8:$AR$313,20,0)</f>
        <v>0</v>
      </c>
    </row>
    <row r="65" spans="1:6">
      <c r="A65" s="155">
        <v>2</v>
      </c>
      <c r="B65" s="156" t="s">
        <v>1128</v>
      </c>
      <c r="C65" s="157">
        <v>1</v>
      </c>
      <c r="D65" s="388">
        <f>VLOOKUP($D$1,Input!$B$8:$AR$293,24,0)</f>
        <v>3000000</v>
      </c>
      <c r="E65" s="388">
        <f>D65</f>
        <v>3000000</v>
      </c>
      <c r="F65" s="189"/>
    </row>
    <row r="66" spans="1:6">
      <c r="A66" s="155">
        <v>3</v>
      </c>
      <c r="B66" s="164" t="s">
        <v>174</v>
      </c>
      <c r="C66" s="190"/>
      <c r="D66" s="388"/>
      <c r="E66" s="388"/>
      <c r="F66" s="191"/>
    </row>
    <row r="67" spans="1:6">
      <c r="A67" s="192"/>
      <c r="B67" s="193" t="s">
        <v>1146</v>
      </c>
      <c r="C67" s="194" t="str">
        <f>VLOOKUP($D$1,Input!$B$8:$AR$293,31,0)</f>
        <v>5 KK @ 1.000.000, 23 KK @500.000</v>
      </c>
      <c r="D67" s="388">
        <f>VLOOKUP($D$1,Input!$B$8:$AR$298,33,0)</f>
        <v>16500000</v>
      </c>
      <c r="E67" s="388">
        <f>D67</f>
        <v>16500000</v>
      </c>
      <c r="F67" s="191"/>
    </row>
    <row r="68" spans="1:6">
      <c r="A68" s="163"/>
      <c r="B68" s="195" t="s">
        <v>1147</v>
      </c>
      <c r="C68" s="174" t="s">
        <v>1130</v>
      </c>
      <c r="D68" s="388">
        <f>VLOOKUP($D$1,Input!$B$8:$AR$298,25,0)</f>
        <v>25000000</v>
      </c>
      <c r="E68" s="388">
        <f>D68</f>
        <v>25000000</v>
      </c>
      <c r="F68" s="191"/>
    </row>
    <row r="69" spans="1:6">
      <c r="A69" s="163"/>
      <c r="B69" s="196" t="s">
        <v>1148</v>
      </c>
      <c r="C69" s="197" t="s">
        <v>1130</v>
      </c>
      <c r="D69" s="388">
        <f>VLOOKUP($D$1,Input!$B$8:$AR$298,34,0)</f>
        <v>53500000</v>
      </c>
      <c r="E69" s="388">
        <f>D69</f>
        <v>53500000</v>
      </c>
      <c r="F69" s="191"/>
    </row>
    <row r="70" spans="1:6">
      <c r="A70" s="163"/>
      <c r="B70" s="198" t="s">
        <v>1149</v>
      </c>
      <c r="C70" s="178" t="s">
        <v>1130</v>
      </c>
      <c r="D70" s="388">
        <f>VLOOKUP($D$1,Input!$B$8:$AR$298,35,0)</f>
        <v>78500000</v>
      </c>
      <c r="E70" s="199">
        <f>D70</f>
        <v>78500000</v>
      </c>
      <c r="F70" s="191"/>
    </row>
    <row r="71" spans="1:6">
      <c r="A71" s="155"/>
      <c r="B71" s="175" t="s">
        <v>1137</v>
      </c>
      <c r="C71" s="155"/>
      <c r="D71" s="187"/>
      <c r="E71" s="200">
        <f>SUM(E67:E69)</f>
        <v>95000000</v>
      </c>
      <c r="F71" s="188"/>
    </row>
    <row r="72" spans="1:6">
      <c r="A72" s="155"/>
      <c r="B72" s="175"/>
      <c r="C72" s="155"/>
      <c r="D72" s="187"/>
      <c r="E72" s="187"/>
      <c r="F72" s="194"/>
    </row>
    <row r="73" spans="1:6">
      <c r="A73" s="163">
        <v>4</v>
      </c>
      <c r="B73" s="164" t="s">
        <v>1150</v>
      </c>
      <c r="C73" s="197" t="s">
        <v>1130</v>
      </c>
      <c r="D73" s="388">
        <f>VLOOKUP($D$1,Input!$B$8:$AR$298,36,0)</f>
        <v>15000000</v>
      </c>
      <c r="E73" s="388">
        <f>D73</f>
        <v>15000000</v>
      </c>
      <c r="F73" s="201"/>
    </row>
    <row r="74" spans="1:6">
      <c r="A74" s="155">
        <v>5</v>
      </c>
      <c r="B74" s="156" t="s">
        <v>1152</v>
      </c>
      <c r="C74" s="178"/>
      <c r="D74" s="187">
        <f>VLOOKUP($D$1,Input!$B$8:$AR$293,39,0)</f>
        <v>0</v>
      </c>
      <c r="E74" s="187">
        <f>D74</f>
        <v>0</v>
      </c>
      <c r="F74" s="189"/>
    </row>
    <row r="75" spans="1:6">
      <c r="A75" s="155">
        <v>6</v>
      </c>
      <c r="B75" s="202" t="s">
        <v>1140</v>
      </c>
      <c r="C75" s="388" t="str">
        <f>VLOOKUP($D$1,Input!$B$8:$AR$298,38,0)</f>
        <v>SST 42m</v>
      </c>
      <c r="D75" s="187">
        <f>VLOOKUP($D$1,Input!$B$8:$AR$298,40,0)</f>
        <v>353505181</v>
      </c>
      <c r="E75" s="187">
        <f>D75</f>
        <v>353505181</v>
      </c>
      <c r="F75" s="189"/>
    </row>
    <row r="76" spans="1:6" hidden="1">
      <c r="A76" s="163"/>
      <c r="B76" s="164"/>
      <c r="C76" s="163"/>
      <c r="D76" s="203"/>
      <c r="E76" s="201"/>
      <c r="F76" s="201"/>
    </row>
    <row r="77" spans="1:6" hidden="1">
      <c r="A77" s="180">
        <v>7</v>
      </c>
      <c r="B77" s="181" t="s">
        <v>1142</v>
      </c>
      <c r="C77" s="180"/>
      <c r="D77" s="204"/>
      <c r="E77" s="205">
        <f>E64+E65+E71+E74+E73</f>
        <v>443000000</v>
      </c>
      <c r="F77" s="205"/>
    </row>
    <row r="78" spans="1:6">
      <c r="A78" s="206">
        <v>7</v>
      </c>
      <c r="B78" s="207" t="s">
        <v>1153</v>
      </c>
      <c r="C78" s="206"/>
      <c r="D78" s="208"/>
      <c r="E78" s="209">
        <f>E64+E65+E71+E73+E75</f>
        <v>796505181</v>
      </c>
      <c r="F78" s="205"/>
    </row>
    <row r="81" spans="1:6" ht="31.5">
      <c r="A81" s="150" t="s">
        <v>1120</v>
      </c>
      <c r="B81" s="150" t="s">
        <v>1121</v>
      </c>
      <c r="C81" s="151" t="s">
        <v>1122</v>
      </c>
      <c r="D81" s="152" t="s">
        <v>1123</v>
      </c>
      <c r="E81" s="153" t="s">
        <v>2137</v>
      </c>
      <c r="F81" s="153" t="s">
        <v>2252</v>
      </c>
    </row>
    <row r="82" spans="1:6">
      <c r="A82" s="155">
        <v>1</v>
      </c>
      <c r="B82" s="156" t="s">
        <v>90</v>
      </c>
      <c r="C82" s="186" t="s">
        <v>2171</v>
      </c>
      <c r="D82" s="187">
        <v>19000000</v>
      </c>
      <c r="E82" s="187">
        <v>380000000</v>
      </c>
      <c r="F82" s="188">
        <v>19000000</v>
      </c>
    </row>
    <row r="83" spans="1:6">
      <c r="A83" s="155">
        <v>2</v>
      </c>
      <c r="B83" s="156" t="s">
        <v>1128</v>
      </c>
      <c r="C83" s="157">
        <v>1</v>
      </c>
      <c r="D83" s="187">
        <v>3000000</v>
      </c>
      <c r="E83" s="187">
        <v>3000000</v>
      </c>
      <c r="F83" s="189"/>
    </row>
    <row r="84" spans="1:6">
      <c r="A84" s="155">
        <v>3</v>
      </c>
      <c r="B84" s="164" t="s">
        <v>174</v>
      </c>
      <c r="C84" s="190"/>
      <c r="D84" s="187"/>
      <c r="E84" s="187"/>
      <c r="F84" s="191"/>
    </row>
    <row r="85" spans="1:6">
      <c r="A85" s="192"/>
      <c r="B85" s="193" t="s">
        <v>1146</v>
      </c>
      <c r="C85" s="194" t="s">
        <v>1312</v>
      </c>
      <c r="D85" s="187">
        <v>31200000</v>
      </c>
      <c r="E85" s="187">
        <v>31200000</v>
      </c>
      <c r="F85" s="191"/>
    </row>
    <row r="86" spans="1:6">
      <c r="A86" s="163"/>
      <c r="B86" s="195" t="s">
        <v>1147</v>
      </c>
      <c r="C86" s="174" t="s">
        <v>1130</v>
      </c>
      <c r="D86" s="187">
        <v>25000000</v>
      </c>
      <c r="E86" s="187">
        <v>25000000</v>
      </c>
      <c r="F86" s="191"/>
    </row>
    <row r="87" spans="1:6">
      <c r="A87" s="163"/>
      <c r="B87" s="196" t="s">
        <v>1148</v>
      </c>
      <c r="C87" s="197" t="s">
        <v>1130</v>
      </c>
      <c r="D87" s="187">
        <v>40800000</v>
      </c>
      <c r="E87" s="187">
        <v>40800000</v>
      </c>
      <c r="F87" s="191"/>
    </row>
    <row r="88" spans="1:6">
      <c r="A88" s="163"/>
      <c r="B88" s="198" t="s">
        <v>1149</v>
      </c>
      <c r="C88" s="178" t="s">
        <v>1130</v>
      </c>
      <c r="D88" s="187">
        <v>65800000</v>
      </c>
      <c r="E88" s="423">
        <v>65800000</v>
      </c>
      <c r="F88" s="191"/>
    </row>
    <row r="89" spans="1:6">
      <c r="A89" s="155"/>
      <c r="B89" s="175" t="s">
        <v>1137</v>
      </c>
      <c r="C89" s="155"/>
      <c r="D89" s="187"/>
      <c r="E89" s="200">
        <v>97000000</v>
      </c>
      <c r="F89" s="188"/>
    </row>
    <row r="90" spans="1:6">
      <c r="A90" s="155"/>
      <c r="B90" s="175"/>
      <c r="C90" s="155"/>
      <c r="D90" s="187"/>
      <c r="E90" s="187"/>
      <c r="F90" s="194"/>
    </row>
    <row r="91" spans="1:6">
      <c r="A91" s="163">
        <v>4</v>
      </c>
      <c r="B91" s="164" t="s">
        <v>1150</v>
      </c>
      <c r="C91" s="197" t="s">
        <v>1130</v>
      </c>
      <c r="D91" s="187">
        <v>15000000</v>
      </c>
      <c r="E91" s="187">
        <v>15000000</v>
      </c>
      <c r="F91" s="201"/>
    </row>
    <row r="92" spans="1:6">
      <c r="A92" s="155">
        <v>5</v>
      </c>
      <c r="B92" s="156" t="s">
        <v>1152</v>
      </c>
      <c r="C92" s="178"/>
      <c r="D92" s="187">
        <v>0</v>
      </c>
      <c r="E92" s="187">
        <v>0</v>
      </c>
      <c r="F92" s="189"/>
    </row>
    <row r="93" spans="1:6">
      <c r="A93" s="155">
        <v>6</v>
      </c>
      <c r="B93" s="202" t="s">
        <v>1140</v>
      </c>
      <c r="C93" s="388" t="s">
        <v>1205</v>
      </c>
      <c r="D93" s="187">
        <v>423293218</v>
      </c>
      <c r="E93" s="187">
        <v>423293218</v>
      </c>
      <c r="F93" s="189"/>
    </row>
    <row r="94" spans="1:6">
      <c r="A94" s="163"/>
      <c r="B94" s="164"/>
      <c r="C94" s="163"/>
      <c r="D94" s="203"/>
      <c r="E94" s="201"/>
      <c r="F94" s="201"/>
    </row>
    <row r="95" spans="1:6">
      <c r="A95" s="206">
        <v>7</v>
      </c>
      <c r="B95" s="207" t="s">
        <v>1142</v>
      </c>
      <c r="C95" s="206"/>
      <c r="D95" s="208"/>
      <c r="E95" s="537">
        <v>495000000</v>
      </c>
      <c r="F95" s="205"/>
    </row>
    <row r="96" spans="1:6">
      <c r="A96" s="148">
        <v>7</v>
      </c>
      <c r="B96" s="148" t="s">
        <v>1153</v>
      </c>
      <c r="E96" s="148">
        <v>918293218</v>
      </c>
      <c r="F96" s="148"/>
    </row>
    <row r="99" spans="1:6" ht="31.5">
      <c r="A99" s="150" t="s">
        <v>1120</v>
      </c>
      <c r="B99" s="150" t="s">
        <v>1121</v>
      </c>
      <c r="C99" s="151" t="s">
        <v>1122</v>
      </c>
      <c r="D99" s="152" t="s">
        <v>1123</v>
      </c>
      <c r="E99" s="153" t="s">
        <v>2137</v>
      </c>
      <c r="F99" s="153" t="s">
        <v>2136</v>
      </c>
    </row>
    <row r="100" spans="1:6">
      <c r="A100" s="155">
        <v>1</v>
      </c>
      <c r="B100" s="156" t="s">
        <v>90</v>
      </c>
      <c r="C100" s="186" t="s">
        <v>2171</v>
      </c>
      <c r="D100" s="187">
        <v>16000000</v>
      </c>
      <c r="E100" s="187">
        <v>320000000</v>
      </c>
      <c r="F100" s="188">
        <v>392000000</v>
      </c>
    </row>
    <row r="101" spans="1:6">
      <c r="A101" s="155">
        <v>2</v>
      </c>
      <c r="B101" s="156" t="s">
        <v>1128</v>
      </c>
      <c r="C101" s="157">
        <v>1</v>
      </c>
      <c r="D101" s="187">
        <v>3000000</v>
      </c>
      <c r="E101" s="187">
        <v>3000000</v>
      </c>
      <c r="F101" s="189"/>
    </row>
    <row r="102" spans="1:6">
      <c r="A102" s="155">
        <v>3</v>
      </c>
      <c r="B102" s="164" t="s">
        <v>174</v>
      </c>
      <c r="C102" s="190"/>
      <c r="D102" s="187"/>
      <c r="E102" s="187"/>
      <c r="F102" s="191"/>
    </row>
    <row r="103" spans="1:6">
      <c r="A103" s="192"/>
      <c r="B103" s="193" t="s">
        <v>1146</v>
      </c>
      <c r="C103" s="194" t="s">
        <v>1306</v>
      </c>
      <c r="D103" s="187">
        <v>9500000</v>
      </c>
      <c r="E103" s="187">
        <v>9500000</v>
      </c>
      <c r="F103" s="191"/>
    </row>
    <row r="104" spans="1:6">
      <c r="A104" s="163"/>
      <c r="B104" s="195" t="s">
        <v>1147</v>
      </c>
      <c r="C104" s="174" t="s">
        <v>1130</v>
      </c>
      <c r="D104" s="187">
        <v>25000000</v>
      </c>
      <c r="E104" s="187">
        <v>25000000</v>
      </c>
      <c r="F104" s="191"/>
    </row>
    <row r="105" spans="1:6">
      <c r="A105" s="163"/>
      <c r="B105" s="196" t="s">
        <v>1148</v>
      </c>
      <c r="C105" s="197" t="s">
        <v>1130</v>
      </c>
      <c r="D105" s="187">
        <v>46000000</v>
      </c>
      <c r="E105" s="187">
        <v>46000000</v>
      </c>
      <c r="F105" s="191"/>
    </row>
    <row r="106" spans="1:6">
      <c r="A106" s="163"/>
      <c r="B106" s="198" t="s">
        <v>1149</v>
      </c>
      <c r="C106" s="178" t="s">
        <v>1130</v>
      </c>
      <c r="D106" s="187">
        <v>71000000</v>
      </c>
      <c r="E106" s="199">
        <v>71000000</v>
      </c>
      <c r="F106" s="191"/>
    </row>
    <row r="107" spans="1:6">
      <c r="A107" s="155"/>
      <c r="B107" s="175" t="s">
        <v>1137</v>
      </c>
      <c r="C107" s="155"/>
      <c r="D107" s="187"/>
      <c r="E107" s="200">
        <v>80500000</v>
      </c>
      <c r="F107" s="188"/>
    </row>
    <row r="108" spans="1:6">
      <c r="A108" s="155"/>
      <c r="B108" s="175"/>
      <c r="C108" s="155"/>
      <c r="D108" s="187"/>
      <c r="E108" s="187"/>
      <c r="F108" s="194"/>
    </row>
    <row r="109" spans="1:6">
      <c r="A109" s="163">
        <v>4</v>
      </c>
      <c r="B109" s="164" t="s">
        <v>1150</v>
      </c>
      <c r="C109" s="197" t="s">
        <v>1130</v>
      </c>
      <c r="D109" s="187">
        <v>15000000</v>
      </c>
      <c r="E109" s="187">
        <v>15000000</v>
      </c>
      <c r="F109" s="201"/>
    </row>
    <row r="110" spans="1:6">
      <c r="A110" s="155">
        <v>5</v>
      </c>
      <c r="B110" s="156" t="s">
        <v>1152</v>
      </c>
      <c r="C110" s="178"/>
      <c r="D110" s="187">
        <v>0</v>
      </c>
      <c r="E110" s="187">
        <v>0</v>
      </c>
      <c r="F110" s="189"/>
    </row>
    <row r="111" spans="1:6">
      <c r="A111" s="155">
        <v>6</v>
      </c>
      <c r="B111" s="202" t="s">
        <v>1140</v>
      </c>
      <c r="C111" s="388" t="s">
        <v>1205</v>
      </c>
      <c r="D111" s="187">
        <v>423293218</v>
      </c>
      <c r="E111" s="187">
        <v>423293218</v>
      </c>
      <c r="F111" s="189"/>
    </row>
    <row r="112" spans="1:6">
      <c r="A112" s="163"/>
      <c r="B112" s="164"/>
      <c r="C112" s="163"/>
      <c r="D112" s="203"/>
      <c r="E112" s="201"/>
      <c r="F112" s="201"/>
    </row>
    <row r="113" spans="1:6">
      <c r="A113" s="206">
        <v>7</v>
      </c>
      <c r="B113" s="207" t="s">
        <v>1142</v>
      </c>
      <c r="C113" s="206"/>
      <c r="D113" s="208"/>
      <c r="E113" s="209">
        <v>418500000</v>
      </c>
      <c r="F113" s="205"/>
    </row>
    <row r="114" spans="1:6">
      <c r="A114" s="148">
        <v>8</v>
      </c>
      <c r="B114" s="148" t="s">
        <v>1153</v>
      </c>
      <c r="E114" s="148">
        <v>841793218</v>
      </c>
    </row>
  </sheetData>
  <conditionalFormatting sqref="D1">
    <cfRule type="duplicateValues" dxfId="146" priority="1"/>
  </conditionalFormatting>
  <pageMargins left="0.7" right="0.7" top="0.75" bottom="0.75" header="0.3" footer="0.3"/>
  <pageSetup paperSize="9" orientation="portrait" horizontalDpi="300" verticalDpi="300" r:id="rId1"/>
</worksheet>
</file>

<file path=xl/worksheets/sheet8.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tabColor theme="8" tint="0.59999389629810485"/>
  </sheetPr>
  <dimension ref="A1:AV254"/>
  <sheetViews>
    <sheetView topLeftCell="A2" zoomScale="90" zoomScaleNormal="90" workbookViewId="0">
      <pane xSplit="10" ySplit="6" topLeftCell="AJ8" activePane="bottomRight" state="frozen"/>
      <selection activeCell="A2" sqref="A2"/>
      <selection pane="topRight" activeCell="K2" sqref="K2"/>
      <selection pane="bottomLeft" activeCell="A3" sqref="A3"/>
      <selection pane="bottomRight" activeCell="C4" sqref="C4"/>
    </sheetView>
  </sheetViews>
  <sheetFormatPr defaultColWidth="9.140625" defaultRowHeight="15"/>
  <cols>
    <col min="1" max="1" width="14.140625" style="177" bestFit="1" customWidth="1"/>
    <col min="2" max="2" width="38.85546875" style="339" bestFit="1" customWidth="1"/>
    <col min="3" max="3" width="27.42578125" style="338" bestFit="1" customWidth="1"/>
    <col min="4" max="4" width="12.28515625" style="387" hidden="1" customWidth="1"/>
    <col min="5" max="5" width="12.140625" style="387" hidden="1" customWidth="1"/>
    <col min="6" max="6" width="14.42578125" style="387" hidden="1" customWidth="1"/>
    <col min="7" max="7" width="12.85546875" style="387" hidden="1" customWidth="1"/>
    <col min="8" max="9" width="9.140625" style="387" hidden="1" customWidth="1"/>
    <col min="10" max="10" width="13.140625" style="387" hidden="1" customWidth="1"/>
    <col min="11" max="11" width="10.85546875" style="338" bestFit="1" customWidth="1"/>
    <col min="12" max="12" width="8.28515625" style="338" customWidth="1"/>
    <col min="13" max="13" width="36.85546875" style="369" hidden="1" customWidth="1"/>
    <col min="14" max="14" width="22.85546875" style="374" hidden="1" customWidth="1"/>
    <col min="15" max="16" width="22.85546875" style="369" hidden="1" customWidth="1"/>
    <col min="17" max="17" width="15.28515625" style="374" hidden="1" customWidth="1"/>
    <col min="18" max="18" width="25.28515625" style="374" hidden="1" customWidth="1"/>
    <col min="19" max="19" width="16.28515625" style="374" hidden="1" customWidth="1"/>
    <col min="20" max="20" width="255.7109375" style="374" hidden="1" customWidth="1"/>
    <col min="21" max="21" width="15.7109375" style="958" customWidth="1"/>
    <col min="22" max="22" width="15.42578125" style="958" customWidth="1"/>
    <col min="23" max="23" width="14.42578125" style="872" bestFit="1" customWidth="1"/>
    <col min="24" max="24" width="15.28515625" style="872" bestFit="1" customWidth="1"/>
    <col min="25" max="25" width="13.42578125" style="873" bestFit="1" customWidth="1"/>
    <col min="26" max="26" width="14.42578125" style="873" bestFit="1" customWidth="1"/>
    <col min="27" max="27" width="13.42578125" style="874" hidden="1" customWidth="1"/>
    <col min="28" max="28" width="0" style="874" hidden="1" customWidth="1"/>
    <col min="29" max="29" width="15.85546875" style="874" hidden="1" customWidth="1"/>
    <col min="30" max="30" width="16" style="874" hidden="1" customWidth="1"/>
    <col min="31" max="31" width="17.28515625" style="874" hidden="1" customWidth="1"/>
    <col min="32" max="32" width="12.85546875" style="872" customWidth="1"/>
    <col min="33" max="33" width="13.28515625" style="959" bestFit="1" customWidth="1"/>
    <col min="34" max="35" width="14.5703125" style="874" customWidth="1"/>
    <col min="36" max="36" width="16.7109375" style="874" customWidth="1"/>
    <col min="37" max="37" width="14.140625" style="875" customWidth="1"/>
    <col min="38" max="38" width="14.140625" style="964" customWidth="1"/>
    <col min="39" max="39" width="25.5703125" style="874" customWidth="1"/>
    <col min="40" max="40" width="18.85546875" style="874" hidden="1" customWidth="1"/>
    <col min="41" max="41" width="15.42578125" style="874" bestFit="1" customWidth="1"/>
    <col min="42" max="42" width="12.5703125" style="876" customWidth="1"/>
    <col min="43" max="43" width="16.140625" style="876" bestFit="1" customWidth="1"/>
    <col min="44" max="44" width="16.5703125" style="876" bestFit="1" customWidth="1"/>
    <col min="45" max="45" width="18.85546875" style="374" bestFit="1" customWidth="1"/>
    <col min="46" max="46" width="17.7109375" style="374" customWidth="1"/>
    <col min="47" max="47" width="12.7109375" style="374" customWidth="1"/>
    <col min="48" max="48" width="13.140625" style="374" customWidth="1"/>
    <col min="49" max="16384" width="9.140625" style="177"/>
  </cols>
  <sheetData>
    <row r="1" spans="1:48" s="965" customFormat="1">
      <c r="B1" s="966"/>
      <c r="C1" s="966"/>
      <c r="D1" s="966"/>
      <c r="E1" s="966"/>
      <c r="F1" s="966"/>
      <c r="G1" s="966"/>
      <c r="H1" s="966"/>
      <c r="I1" s="966"/>
      <c r="J1" s="966"/>
      <c r="K1" s="966"/>
      <c r="L1" s="966"/>
      <c r="M1" s="967"/>
      <c r="O1" s="967"/>
      <c r="P1" s="967"/>
      <c r="R1" s="965" t="s">
        <v>1154</v>
      </c>
      <c r="S1" s="965" t="s">
        <v>1155</v>
      </c>
      <c r="U1" s="1036" t="s">
        <v>90</v>
      </c>
      <c r="V1" s="1036"/>
      <c r="W1" s="1036"/>
      <c r="X1" s="1036"/>
      <c r="Y1" s="1037" t="s">
        <v>1156</v>
      </c>
      <c r="Z1" s="1037"/>
      <c r="AA1" s="1037"/>
      <c r="AB1" s="1038" t="s">
        <v>1157</v>
      </c>
      <c r="AC1" s="1038"/>
      <c r="AD1" s="1038"/>
      <c r="AE1" s="1038"/>
      <c r="AF1" s="1038"/>
      <c r="AG1" s="1038"/>
      <c r="AH1" s="1038"/>
      <c r="AI1" s="1038"/>
      <c r="AJ1" s="1038"/>
      <c r="AK1" s="968"/>
      <c r="AL1" s="969"/>
      <c r="AM1" s="970"/>
      <c r="AN1" s="970"/>
      <c r="AO1" s="970"/>
      <c r="AP1" s="971"/>
      <c r="AQ1" s="971"/>
      <c r="AR1" s="971"/>
    </row>
    <row r="2" spans="1:48" s="567" customFormat="1">
      <c r="B2" s="985"/>
      <c r="C2" s="986" t="s">
        <v>3490</v>
      </c>
      <c r="D2" s="986"/>
      <c r="E2" s="986"/>
      <c r="F2" s="986"/>
      <c r="G2" s="986"/>
      <c r="H2" s="986"/>
      <c r="I2" s="986"/>
      <c r="J2" s="986"/>
      <c r="K2" s="986"/>
      <c r="L2" s="986"/>
      <c r="M2" s="987"/>
      <c r="O2" s="987"/>
      <c r="P2" s="987"/>
      <c r="U2" s="988"/>
      <c r="V2" s="988"/>
      <c r="W2" s="988"/>
      <c r="X2" s="988"/>
      <c r="Y2" s="989"/>
      <c r="Z2" s="989"/>
      <c r="AA2" s="989"/>
      <c r="AB2" s="990"/>
      <c r="AC2" s="990"/>
      <c r="AD2" s="990"/>
      <c r="AE2" s="990"/>
      <c r="AF2" s="990"/>
      <c r="AG2" s="990"/>
      <c r="AH2" s="990"/>
      <c r="AI2" s="990"/>
      <c r="AJ2" s="990"/>
      <c r="AK2" s="991"/>
      <c r="AL2" s="992"/>
      <c r="AM2" s="993"/>
      <c r="AN2" s="993"/>
      <c r="AO2" s="993"/>
      <c r="AP2" s="994"/>
      <c r="AQ2" s="994"/>
      <c r="AR2" s="994"/>
    </row>
    <row r="3" spans="1:48" s="567" customFormat="1">
      <c r="B3" s="995"/>
      <c r="C3" s="986" t="s">
        <v>3491</v>
      </c>
      <c r="D3" s="986"/>
      <c r="E3" s="986"/>
      <c r="F3" s="986"/>
      <c r="G3" s="986"/>
      <c r="H3" s="986"/>
      <c r="I3" s="986"/>
      <c r="J3" s="986"/>
      <c r="K3" s="986"/>
      <c r="L3" s="986"/>
      <c r="M3" s="987"/>
      <c r="O3" s="987"/>
      <c r="P3" s="987"/>
      <c r="U3" s="988"/>
      <c r="V3" s="988"/>
      <c r="W3" s="988"/>
      <c r="X3" s="988"/>
      <c r="Y3" s="989"/>
      <c r="Z3" s="989"/>
      <c r="AA3" s="989"/>
      <c r="AB3" s="990"/>
      <c r="AC3" s="990"/>
      <c r="AD3" s="990"/>
      <c r="AE3" s="990"/>
      <c r="AF3" s="990"/>
      <c r="AG3" s="990"/>
      <c r="AH3" s="990"/>
      <c r="AI3" s="990"/>
      <c r="AJ3" s="990"/>
      <c r="AK3" s="991"/>
      <c r="AL3" s="992"/>
      <c r="AM3" s="993"/>
      <c r="AN3" s="993"/>
      <c r="AO3" s="993"/>
      <c r="AP3" s="994"/>
      <c r="AQ3" s="994"/>
      <c r="AR3" s="994"/>
    </row>
    <row r="4" spans="1:48" s="567" customFormat="1">
      <c r="B4" s="977"/>
      <c r="C4" s="986" t="s">
        <v>3492</v>
      </c>
      <c r="D4" s="986"/>
      <c r="E4" s="986"/>
      <c r="F4" s="986"/>
      <c r="G4" s="986"/>
      <c r="H4" s="986"/>
      <c r="I4" s="986"/>
      <c r="J4" s="986"/>
      <c r="K4" s="986"/>
      <c r="L4" s="986"/>
      <c r="M4" s="987"/>
      <c r="O4" s="987"/>
      <c r="P4" s="987"/>
      <c r="U4" s="988"/>
      <c r="V4" s="988"/>
      <c r="W4" s="988"/>
      <c r="X4" s="988"/>
      <c r="Y4" s="989"/>
      <c r="Z4" s="989"/>
      <c r="AA4" s="989"/>
      <c r="AB4" s="990"/>
      <c r="AC4" s="990"/>
      <c r="AD4" s="990"/>
      <c r="AE4" s="990"/>
      <c r="AF4" s="990"/>
      <c r="AG4" s="990"/>
      <c r="AH4" s="990"/>
      <c r="AI4" s="990"/>
      <c r="AJ4" s="990"/>
      <c r="AK4" s="991"/>
      <c r="AL4" s="992"/>
      <c r="AM4" s="993"/>
      <c r="AN4" s="993"/>
      <c r="AO4" s="993"/>
      <c r="AP4" s="994"/>
      <c r="AQ4" s="994"/>
      <c r="AR4" s="994"/>
    </row>
    <row r="5" spans="1:48" s="567" customFormat="1">
      <c r="B5" s="981"/>
      <c r="C5" s="986" t="s">
        <v>3493</v>
      </c>
      <c r="D5" s="986"/>
      <c r="E5" s="986"/>
      <c r="F5" s="986"/>
      <c r="G5" s="986"/>
      <c r="H5" s="986"/>
      <c r="I5" s="986"/>
      <c r="J5" s="986"/>
      <c r="K5" s="986"/>
      <c r="L5" s="986"/>
      <c r="M5" s="987"/>
      <c r="O5" s="987"/>
      <c r="P5" s="987"/>
      <c r="U5" s="988"/>
      <c r="V5" s="988"/>
      <c r="W5" s="988"/>
      <c r="X5" s="988"/>
      <c r="Y5" s="989"/>
      <c r="Z5" s="989"/>
      <c r="AA5" s="989"/>
      <c r="AB5" s="990"/>
      <c r="AC5" s="990"/>
      <c r="AD5" s="990"/>
      <c r="AE5" s="990"/>
      <c r="AF5" s="990"/>
      <c r="AG5" s="990"/>
      <c r="AH5" s="990"/>
      <c r="AI5" s="990"/>
      <c r="AJ5" s="990"/>
      <c r="AK5" s="991"/>
      <c r="AL5" s="992"/>
      <c r="AM5" s="993"/>
      <c r="AN5" s="993"/>
      <c r="AO5" s="993"/>
      <c r="AP5" s="994"/>
      <c r="AQ5" s="994"/>
      <c r="AR5" s="994"/>
    </row>
    <row r="6" spans="1:48" s="567" customFormat="1">
      <c r="B6" s="986"/>
      <c r="C6" s="986"/>
      <c r="D6" s="986"/>
      <c r="E6" s="986"/>
      <c r="F6" s="986"/>
      <c r="G6" s="986"/>
      <c r="H6" s="986"/>
      <c r="I6" s="986"/>
      <c r="J6" s="986"/>
      <c r="K6" s="986"/>
      <c r="L6" s="986"/>
      <c r="M6" s="987"/>
      <c r="O6" s="987"/>
      <c r="P6" s="987"/>
      <c r="U6" s="988"/>
      <c r="V6" s="988"/>
      <c r="W6" s="988"/>
      <c r="X6" s="988"/>
      <c r="Y6" s="989"/>
      <c r="Z6" s="989"/>
      <c r="AA6" s="989"/>
      <c r="AB6" s="990"/>
      <c r="AC6" s="990"/>
      <c r="AD6" s="990"/>
      <c r="AE6" s="990"/>
      <c r="AF6" s="990"/>
      <c r="AG6" s="990"/>
      <c r="AH6" s="990"/>
      <c r="AI6" s="990"/>
      <c r="AJ6" s="990"/>
      <c r="AK6" s="991"/>
      <c r="AL6" s="992"/>
      <c r="AM6" s="993"/>
      <c r="AN6" s="993"/>
      <c r="AO6" s="993"/>
      <c r="AP6" s="994"/>
      <c r="AQ6" s="994"/>
      <c r="AR6" s="994"/>
    </row>
    <row r="7" spans="1:48" s="297" customFormat="1" ht="66" customHeight="1">
      <c r="A7" s="972" t="s">
        <v>2585</v>
      </c>
      <c r="B7" s="973" t="s">
        <v>1158</v>
      </c>
      <c r="C7" s="973" t="s">
        <v>1159</v>
      </c>
      <c r="D7" s="973" t="s">
        <v>77</v>
      </c>
      <c r="E7" s="973" t="s">
        <v>76</v>
      </c>
      <c r="F7" s="973" t="s">
        <v>1160</v>
      </c>
      <c r="G7" s="973" t="s">
        <v>1161</v>
      </c>
      <c r="H7" s="973" t="s">
        <v>1162</v>
      </c>
      <c r="I7" s="973" t="s">
        <v>1163</v>
      </c>
      <c r="J7" s="973" t="s">
        <v>1164</v>
      </c>
      <c r="K7" s="973" t="s">
        <v>1165</v>
      </c>
      <c r="L7" s="973" t="s">
        <v>942</v>
      </c>
      <c r="M7" s="974" t="s">
        <v>1166</v>
      </c>
      <c r="N7" s="974" t="s">
        <v>1167</v>
      </c>
      <c r="O7" s="974" t="s">
        <v>1168</v>
      </c>
      <c r="P7" s="975" t="s">
        <v>1169</v>
      </c>
      <c r="Q7" s="975" t="s">
        <v>1170</v>
      </c>
      <c r="R7" s="975" t="s">
        <v>1171</v>
      </c>
      <c r="S7" s="975" t="s">
        <v>1171</v>
      </c>
      <c r="T7" s="975"/>
      <c r="U7" s="976" t="s">
        <v>2134</v>
      </c>
      <c r="V7" s="976" t="s">
        <v>2135</v>
      </c>
      <c r="W7" s="977" t="s">
        <v>1172</v>
      </c>
      <c r="X7" s="977" t="s">
        <v>1173</v>
      </c>
      <c r="Y7" s="978" t="s">
        <v>1128</v>
      </c>
      <c r="Z7" s="978" t="s">
        <v>1174</v>
      </c>
      <c r="AA7" s="979" t="s">
        <v>1175</v>
      </c>
      <c r="AB7" s="979" t="s">
        <v>1176</v>
      </c>
      <c r="AC7" s="979" t="s">
        <v>1177</v>
      </c>
      <c r="AD7" s="979" t="s">
        <v>1178</v>
      </c>
      <c r="AE7" s="979" t="s">
        <v>1179</v>
      </c>
      <c r="AF7" s="980" t="s">
        <v>1180</v>
      </c>
      <c r="AG7" s="976" t="s">
        <v>1181</v>
      </c>
      <c r="AH7" s="980" t="s">
        <v>1182</v>
      </c>
      <c r="AI7" s="980" t="s">
        <v>1183</v>
      </c>
      <c r="AJ7" s="980" t="s">
        <v>1184</v>
      </c>
      <c r="AK7" s="978" t="s">
        <v>1185</v>
      </c>
      <c r="AL7" s="981" t="s">
        <v>2463</v>
      </c>
      <c r="AM7" s="980" t="s">
        <v>3489</v>
      </c>
      <c r="AN7" s="980" t="s">
        <v>1186</v>
      </c>
      <c r="AO7" s="980" t="s">
        <v>1187</v>
      </c>
      <c r="AP7" s="982" t="s">
        <v>1188</v>
      </c>
      <c r="AQ7" s="982" t="s">
        <v>1189</v>
      </c>
      <c r="AR7" s="982" t="s">
        <v>1190</v>
      </c>
      <c r="AS7" s="983" t="s">
        <v>1191</v>
      </c>
      <c r="AT7" s="984" t="s">
        <v>1192</v>
      </c>
      <c r="AU7" s="983" t="s">
        <v>1115</v>
      </c>
      <c r="AV7" s="983" t="s">
        <v>1193</v>
      </c>
    </row>
    <row r="8" spans="1:48" s="214" customFormat="1">
      <c r="A8" s="213"/>
      <c r="B8" s="335" t="s">
        <v>1194</v>
      </c>
      <c r="C8" s="336" t="s">
        <v>1195</v>
      </c>
      <c r="D8" s="336"/>
      <c r="E8" s="336"/>
      <c r="F8" s="336"/>
      <c r="G8" s="336"/>
      <c r="H8" s="337"/>
      <c r="I8" s="336"/>
      <c r="J8" s="336"/>
      <c r="K8" s="336" t="s">
        <v>1196</v>
      </c>
      <c r="L8" s="336">
        <v>32</v>
      </c>
      <c r="M8" s="336"/>
      <c r="N8" s="338"/>
      <c r="O8" s="338"/>
      <c r="P8" s="336"/>
      <c r="Q8" s="336"/>
      <c r="R8" s="339"/>
      <c r="S8" s="339"/>
      <c r="T8" s="339"/>
      <c r="U8" s="953">
        <v>21049242</v>
      </c>
      <c r="V8" s="953">
        <f t="shared" ref="V8:V18" si="0">U8*11</f>
        <v>231541662</v>
      </c>
      <c r="W8" s="341">
        <v>20000000</v>
      </c>
      <c r="X8" s="341">
        <f t="shared" ref="X8:X29" si="1">W8*5</f>
        <v>100000000</v>
      </c>
      <c r="Y8" s="340">
        <v>3000000</v>
      </c>
      <c r="Z8" s="340">
        <v>25000000</v>
      </c>
      <c r="AA8" s="341"/>
      <c r="AB8" s="341">
        <v>25</v>
      </c>
      <c r="AC8" s="341"/>
      <c r="AD8" s="341"/>
      <c r="AE8" s="341"/>
      <c r="AF8" s="341" t="s">
        <v>1197</v>
      </c>
      <c r="AG8" s="953">
        <v>300000</v>
      </c>
      <c r="AH8" s="341">
        <f>AG8*25</f>
        <v>7500000</v>
      </c>
      <c r="AI8" s="341">
        <v>47500000</v>
      </c>
      <c r="AJ8" s="341">
        <f t="shared" ref="AJ8:AJ72" si="2">AI8+Z8</f>
        <v>72500000</v>
      </c>
      <c r="AK8" s="340">
        <v>15000000</v>
      </c>
      <c r="AL8" s="961"/>
      <c r="AM8" s="341" t="s">
        <v>1198</v>
      </c>
      <c r="AN8" s="341">
        <v>256500000</v>
      </c>
      <c r="AO8" s="341">
        <v>377220384</v>
      </c>
      <c r="AP8" s="342"/>
      <c r="AQ8" s="343">
        <f t="shared" ref="AQ8:AQ13" si="3">AN8+AK8+AJ8+AH8+AA8+Z8+Y8+X8</f>
        <v>479500000</v>
      </c>
      <c r="AR8" s="343">
        <f>AQ8+AO8</f>
        <v>856720384</v>
      </c>
      <c r="AS8" s="344"/>
      <c r="AT8" s="336"/>
      <c r="AU8" s="336" t="s">
        <v>1199</v>
      </c>
      <c r="AV8" s="336"/>
    </row>
    <row r="9" spans="1:48" s="214" customFormat="1">
      <c r="A9" s="213"/>
      <c r="B9" s="335" t="s">
        <v>1200</v>
      </c>
      <c r="C9" s="336" t="s">
        <v>1195</v>
      </c>
      <c r="D9" s="336"/>
      <c r="E9" s="336"/>
      <c r="F9" s="336"/>
      <c r="G9" s="336"/>
      <c r="H9" s="337"/>
      <c r="I9" s="336"/>
      <c r="J9" s="336"/>
      <c r="K9" s="336" t="s">
        <v>1196</v>
      </c>
      <c r="L9" s="336">
        <v>42</v>
      </c>
      <c r="M9" s="336"/>
      <c r="N9" s="338"/>
      <c r="O9" s="338"/>
      <c r="P9" s="336"/>
      <c r="Q9" s="336"/>
      <c r="R9" s="339"/>
      <c r="S9" s="339"/>
      <c r="T9" s="339"/>
      <c r="U9" s="953">
        <v>21049242</v>
      </c>
      <c r="V9" s="953">
        <f t="shared" si="0"/>
        <v>231541662</v>
      </c>
      <c r="W9" s="341">
        <v>20000000</v>
      </c>
      <c r="X9" s="341">
        <f t="shared" si="1"/>
        <v>100000000</v>
      </c>
      <c r="Y9" s="340">
        <v>3000000</v>
      </c>
      <c r="Z9" s="340">
        <v>25000000</v>
      </c>
      <c r="AA9" s="341"/>
      <c r="AB9" s="341"/>
      <c r="AC9" s="341"/>
      <c r="AD9" s="341"/>
      <c r="AE9" s="341"/>
      <c r="AF9" s="341" t="s">
        <v>1201</v>
      </c>
      <c r="AG9" s="953">
        <v>500000</v>
      </c>
      <c r="AH9" s="341">
        <f>AG9*38</f>
        <v>19000000</v>
      </c>
      <c r="AI9" s="341">
        <v>52000000</v>
      </c>
      <c r="AJ9" s="341">
        <f t="shared" si="2"/>
        <v>77000000</v>
      </c>
      <c r="AK9" s="340">
        <v>15000000</v>
      </c>
      <c r="AL9" s="961"/>
      <c r="AM9" s="341" t="s">
        <v>1202</v>
      </c>
      <c r="AN9" s="341">
        <v>256500000</v>
      </c>
      <c r="AO9" s="341">
        <v>353505181</v>
      </c>
      <c r="AP9" s="342"/>
      <c r="AQ9" s="343">
        <f t="shared" si="3"/>
        <v>495500000</v>
      </c>
      <c r="AR9" s="343">
        <f>AQ9+AO9</f>
        <v>849005181</v>
      </c>
      <c r="AS9" s="344"/>
      <c r="AT9" s="336"/>
      <c r="AU9" s="336" t="s">
        <v>1199</v>
      </c>
      <c r="AV9" s="336"/>
    </row>
    <row r="10" spans="1:48" s="214" customFormat="1">
      <c r="A10" s="213"/>
      <c r="B10" s="335" t="s">
        <v>1203</v>
      </c>
      <c r="C10" s="336" t="s">
        <v>1195</v>
      </c>
      <c r="D10" s="336"/>
      <c r="E10" s="336"/>
      <c r="F10" s="336"/>
      <c r="G10" s="336"/>
      <c r="H10" s="337"/>
      <c r="I10" s="336"/>
      <c r="J10" s="336"/>
      <c r="K10" s="336" t="s">
        <v>1196</v>
      </c>
      <c r="L10" s="336">
        <v>52</v>
      </c>
      <c r="M10" s="336"/>
      <c r="N10" s="338"/>
      <c r="O10" s="338"/>
      <c r="P10" s="336"/>
      <c r="Q10" s="336"/>
      <c r="R10" s="339"/>
      <c r="S10" s="339"/>
      <c r="T10" s="339"/>
      <c r="U10" s="953">
        <v>21049242</v>
      </c>
      <c r="V10" s="953">
        <f t="shared" si="0"/>
        <v>231541662</v>
      </c>
      <c r="W10" s="341">
        <v>20000000</v>
      </c>
      <c r="X10" s="341">
        <f t="shared" si="1"/>
        <v>100000000</v>
      </c>
      <c r="Y10" s="340">
        <v>3000000</v>
      </c>
      <c r="Z10" s="340">
        <v>25000000</v>
      </c>
      <c r="AA10" s="341"/>
      <c r="AB10" s="341"/>
      <c r="AC10" s="341"/>
      <c r="AD10" s="341"/>
      <c r="AE10" s="341"/>
      <c r="AF10" s="341" t="s">
        <v>1204</v>
      </c>
      <c r="AG10" s="953">
        <v>500000</v>
      </c>
      <c r="AH10" s="341">
        <f>AG10*15</f>
        <v>7500000</v>
      </c>
      <c r="AI10" s="341">
        <v>49500000</v>
      </c>
      <c r="AJ10" s="341">
        <f t="shared" si="2"/>
        <v>74500000</v>
      </c>
      <c r="AK10" s="340">
        <v>15000000</v>
      </c>
      <c r="AL10" s="961"/>
      <c r="AM10" s="341" t="s">
        <v>1205</v>
      </c>
      <c r="AN10" s="341">
        <v>0</v>
      </c>
      <c r="AO10" s="341">
        <v>423293218</v>
      </c>
      <c r="AP10" s="342"/>
      <c r="AQ10" s="343">
        <f t="shared" si="3"/>
        <v>225000000</v>
      </c>
      <c r="AR10" s="343">
        <f>AQ10+AO10</f>
        <v>648293218</v>
      </c>
      <c r="AS10" s="344"/>
      <c r="AT10" s="336"/>
      <c r="AU10" s="336" t="s">
        <v>1199</v>
      </c>
      <c r="AV10" s="336"/>
    </row>
    <row r="11" spans="1:48" s="214" customFormat="1">
      <c r="A11" s="213"/>
      <c r="B11" s="335" t="s">
        <v>1206</v>
      </c>
      <c r="C11" s="336" t="s">
        <v>1195</v>
      </c>
      <c r="D11" s="336"/>
      <c r="E11" s="336"/>
      <c r="F11" s="336"/>
      <c r="G11" s="336"/>
      <c r="H11" s="337"/>
      <c r="I11" s="336"/>
      <c r="J11" s="336"/>
      <c r="K11" s="336" t="s">
        <v>1196</v>
      </c>
      <c r="L11" s="336">
        <v>42</v>
      </c>
      <c r="M11" s="336"/>
      <c r="N11" s="338"/>
      <c r="O11" s="338"/>
      <c r="P11" s="336"/>
      <c r="Q11" s="336"/>
      <c r="R11" s="339"/>
      <c r="S11" s="339"/>
      <c r="T11" s="339"/>
      <c r="U11" s="953">
        <v>21049242</v>
      </c>
      <c r="V11" s="953">
        <f t="shared" si="0"/>
        <v>231541662</v>
      </c>
      <c r="W11" s="341">
        <v>20000000</v>
      </c>
      <c r="X11" s="341">
        <f t="shared" si="1"/>
        <v>100000000</v>
      </c>
      <c r="Y11" s="340">
        <v>3000000</v>
      </c>
      <c r="Z11" s="340">
        <v>25000000</v>
      </c>
      <c r="AA11" s="341"/>
      <c r="AB11" s="341"/>
      <c r="AC11" s="341"/>
      <c r="AD11" s="341"/>
      <c r="AE11" s="341"/>
      <c r="AF11" s="341" t="s">
        <v>1207</v>
      </c>
      <c r="AG11" s="953">
        <v>500000</v>
      </c>
      <c r="AH11" s="341">
        <f>AG11*28</f>
        <v>14000000</v>
      </c>
      <c r="AI11" s="341">
        <v>50000000</v>
      </c>
      <c r="AJ11" s="341">
        <f t="shared" si="2"/>
        <v>75000000</v>
      </c>
      <c r="AK11" s="340">
        <v>15000000</v>
      </c>
      <c r="AL11" s="961"/>
      <c r="AM11" s="341" t="s">
        <v>1208</v>
      </c>
      <c r="AN11" s="341">
        <v>0</v>
      </c>
      <c r="AO11" s="341">
        <v>353505181</v>
      </c>
      <c r="AP11" s="342"/>
      <c r="AQ11" s="343">
        <f t="shared" si="3"/>
        <v>232000000</v>
      </c>
      <c r="AR11" s="343">
        <f>AQ11+AO11</f>
        <v>585505181</v>
      </c>
      <c r="AS11" s="344"/>
      <c r="AT11" s="336"/>
      <c r="AU11" s="336" t="s">
        <v>1199</v>
      </c>
      <c r="AV11" s="336"/>
    </row>
    <row r="12" spans="1:48" s="214" customFormat="1" ht="15.75" customHeight="1">
      <c r="A12" s="213"/>
      <c r="B12" s="335" t="s">
        <v>1209</v>
      </c>
      <c r="C12" s="336" t="s">
        <v>1195</v>
      </c>
      <c r="D12" s="336"/>
      <c r="E12" s="336"/>
      <c r="F12" s="336"/>
      <c r="G12" s="336"/>
      <c r="H12" s="337"/>
      <c r="I12" s="336"/>
      <c r="J12" s="336"/>
      <c r="K12" s="336" t="s">
        <v>1196</v>
      </c>
      <c r="L12" s="336">
        <v>52</v>
      </c>
      <c r="M12" s="336"/>
      <c r="N12" s="338"/>
      <c r="O12" s="338"/>
      <c r="P12" s="336"/>
      <c r="Q12" s="336"/>
      <c r="R12" s="339"/>
      <c r="S12" s="339"/>
      <c r="T12" s="339"/>
      <c r="U12" s="953">
        <v>21049242</v>
      </c>
      <c r="V12" s="953">
        <f t="shared" si="0"/>
        <v>231541662</v>
      </c>
      <c r="W12" s="341">
        <v>20000000</v>
      </c>
      <c r="X12" s="341">
        <f t="shared" si="1"/>
        <v>100000000</v>
      </c>
      <c r="Y12" s="340">
        <v>3000000</v>
      </c>
      <c r="Z12" s="340">
        <v>25000000</v>
      </c>
      <c r="AA12" s="341"/>
      <c r="AB12" s="341"/>
      <c r="AC12" s="341"/>
      <c r="AD12" s="341"/>
      <c r="AE12" s="341"/>
      <c r="AF12" s="341" t="s">
        <v>1210</v>
      </c>
      <c r="AG12" s="953">
        <v>500000</v>
      </c>
      <c r="AH12" s="341">
        <f>AG12*26</f>
        <v>13000000</v>
      </c>
      <c r="AI12" s="341">
        <v>50000000</v>
      </c>
      <c r="AJ12" s="341">
        <f t="shared" si="2"/>
        <v>75000000</v>
      </c>
      <c r="AK12" s="340">
        <v>15000000</v>
      </c>
      <c r="AL12" s="961"/>
      <c r="AM12" s="341" t="s">
        <v>1205</v>
      </c>
      <c r="AN12" s="341">
        <v>0</v>
      </c>
      <c r="AO12" s="341">
        <v>423293218</v>
      </c>
      <c r="AP12" s="342"/>
      <c r="AQ12" s="343">
        <f t="shared" si="3"/>
        <v>231000000</v>
      </c>
      <c r="AR12" s="343">
        <f>AQ12+AO12</f>
        <v>654293218</v>
      </c>
      <c r="AS12" s="344"/>
      <c r="AT12" s="336"/>
      <c r="AU12" s="336" t="s">
        <v>1199</v>
      </c>
      <c r="AV12" s="336"/>
    </row>
    <row r="13" spans="1:48" s="214" customFormat="1" ht="15.75" customHeight="1">
      <c r="A13" s="213"/>
      <c r="B13" s="335" t="s">
        <v>1211</v>
      </c>
      <c r="C13" s="336" t="s">
        <v>1195</v>
      </c>
      <c r="D13" s="336"/>
      <c r="E13" s="336"/>
      <c r="F13" s="336"/>
      <c r="G13" s="336"/>
      <c r="H13" s="337"/>
      <c r="I13" s="336"/>
      <c r="J13" s="336"/>
      <c r="K13" s="336" t="s">
        <v>1196</v>
      </c>
      <c r="L13" s="336">
        <v>42</v>
      </c>
      <c r="M13" s="336"/>
      <c r="N13" s="338"/>
      <c r="O13" s="338"/>
      <c r="P13" s="336"/>
      <c r="Q13" s="336"/>
      <c r="R13" s="339"/>
      <c r="S13" s="339"/>
      <c r="T13" s="339"/>
      <c r="U13" s="953">
        <v>21049242</v>
      </c>
      <c r="V13" s="953">
        <f t="shared" si="0"/>
        <v>231541662</v>
      </c>
      <c r="W13" s="341">
        <v>20000000</v>
      </c>
      <c r="X13" s="341">
        <f t="shared" si="1"/>
        <v>100000000</v>
      </c>
      <c r="Y13" s="340">
        <v>3000000</v>
      </c>
      <c r="Z13" s="340">
        <v>25000000</v>
      </c>
      <c r="AA13" s="341"/>
      <c r="AB13" s="341"/>
      <c r="AC13" s="341"/>
      <c r="AD13" s="341"/>
      <c r="AE13" s="341"/>
      <c r="AF13" s="341" t="s">
        <v>1212</v>
      </c>
      <c r="AG13" s="953">
        <v>500000</v>
      </c>
      <c r="AH13" s="341">
        <f>AG13*16</f>
        <v>8000000</v>
      </c>
      <c r="AI13" s="341">
        <v>46000000</v>
      </c>
      <c r="AJ13" s="341">
        <f t="shared" si="2"/>
        <v>71000000</v>
      </c>
      <c r="AK13" s="340">
        <v>15000000</v>
      </c>
      <c r="AL13" s="961"/>
      <c r="AM13" s="341" t="s">
        <v>1208</v>
      </c>
      <c r="AN13" s="341">
        <v>0</v>
      </c>
      <c r="AO13" s="341">
        <v>353505181</v>
      </c>
      <c r="AP13" s="342"/>
      <c r="AQ13" s="343">
        <f t="shared" si="3"/>
        <v>222000000</v>
      </c>
      <c r="AR13" s="343"/>
      <c r="AS13" s="344"/>
      <c r="AT13" s="336"/>
      <c r="AU13" s="336" t="s">
        <v>1199</v>
      </c>
      <c r="AV13" s="336"/>
    </row>
    <row r="14" spans="1:48" s="214" customFormat="1" ht="15.75" customHeight="1">
      <c r="A14" s="213"/>
      <c r="B14" s="335" t="s">
        <v>1213</v>
      </c>
      <c r="C14" s="336" t="s">
        <v>1195</v>
      </c>
      <c r="D14" s="336"/>
      <c r="E14" s="336"/>
      <c r="F14" s="336"/>
      <c r="G14" s="336"/>
      <c r="H14" s="337"/>
      <c r="I14" s="336"/>
      <c r="J14" s="336"/>
      <c r="K14" s="336" t="s">
        <v>1196</v>
      </c>
      <c r="L14" s="336">
        <v>32</v>
      </c>
      <c r="M14" s="336"/>
      <c r="N14" s="338"/>
      <c r="O14" s="338"/>
      <c r="P14" s="336"/>
      <c r="Q14" s="336"/>
      <c r="R14" s="339"/>
      <c r="S14" s="339"/>
      <c r="T14" s="339"/>
      <c r="U14" s="953">
        <v>21049242</v>
      </c>
      <c r="V14" s="953">
        <f t="shared" si="0"/>
        <v>231541662</v>
      </c>
      <c r="W14" s="341">
        <v>15000000</v>
      </c>
      <c r="X14" s="341">
        <f t="shared" si="1"/>
        <v>75000000</v>
      </c>
      <c r="Y14" s="340">
        <v>3000000</v>
      </c>
      <c r="Z14" s="340">
        <v>25000000</v>
      </c>
      <c r="AA14" s="341"/>
      <c r="AB14" s="341"/>
      <c r="AC14" s="341"/>
      <c r="AD14" s="341"/>
      <c r="AE14" s="341"/>
      <c r="AF14" s="341" t="s">
        <v>1214</v>
      </c>
      <c r="AG14" s="953">
        <v>1000000</v>
      </c>
      <c r="AH14" s="341">
        <f>AG14*2</f>
        <v>2000000</v>
      </c>
      <c r="AI14" s="341">
        <v>43400000</v>
      </c>
      <c r="AJ14" s="341">
        <f t="shared" si="2"/>
        <v>68400000</v>
      </c>
      <c r="AK14" s="340">
        <v>15000000</v>
      </c>
      <c r="AL14" s="961"/>
      <c r="AM14" s="341" t="s">
        <v>1215</v>
      </c>
      <c r="AN14" s="341">
        <v>0</v>
      </c>
      <c r="AO14" s="341">
        <v>377220384</v>
      </c>
      <c r="AP14" s="342"/>
      <c r="AQ14" s="343"/>
      <c r="AR14" s="343"/>
      <c r="AS14" s="344"/>
      <c r="AT14" s="336"/>
      <c r="AU14" s="336" t="s">
        <v>1199</v>
      </c>
      <c r="AV14" s="336"/>
    </row>
    <row r="15" spans="1:48" s="214" customFormat="1" ht="15.75" customHeight="1">
      <c r="A15" s="213"/>
      <c r="B15" s="335" t="s">
        <v>1216</v>
      </c>
      <c r="C15" s="336" t="s">
        <v>1195</v>
      </c>
      <c r="D15" s="336"/>
      <c r="E15" s="336"/>
      <c r="F15" s="336"/>
      <c r="G15" s="336"/>
      <c r="H15" s="337"/>
      <c r="I15" s="336"/>
      <c r="J15" s="336"/>
      <c r="K15" s="336" t="s">
        <v>1196</v>
      </c>
      <c r="L15" s="336">
        <v>32</v>
      </c>
      <c r="M15" s="336"/>
      <c r="N15" s="338"/>
      <c r="O15" s="338"/>
      <c r="P15" s="336"/>
      <c r="Q15" s="336"/>
      <c r="R15" s="339"/>
      <c r="S15" s="339"/>
      <c r="T15" s="339"/>
      <c r="U15" s="953">
        <v>21049242</v>
      </c>
      <c r="V15" s="953">
        <f>U15*11</f>
        <v>231541662</v>
      </c>
      <c r="W15" s="341">
        <v>15000000</v>
      </c>
      <c r="X15" s="341">
        <f>W15*5</f>
        <v>75000000</v>
      </c>
      <c r="Y15" s="340">
        <v>3000000</v>
      </c>
      <c r="Z15" s="340">
        <v>25000000</v>
      </c>
      <c r="AA15" s="341"/>
      <c r="AB15" s="341"/>
      <c r="AC15" s="341"/>
      <c r="AD15" s="341"/>
      <c r="AE15" s="341"/>
      <c r="AF15" s="341" t="s">
        <v>1217</v>
      </c>
      <c r="AG15" s="954" t="s">
        <v>1218</v>
      </c>
      <c r="AH15" s="341">
        <v>8000000</v>
      </c>
      <c r="AI15" s="341">
        <v>43400000</v>
      </c>
      <c r="AJ15" s="341">
        <f t="shared" si="2"/>
        <v>68400000</v>
      </c>
      <c r="AK15" s="340">
        <v>15000000</v>
      </c>
      <c r="AL15" s="961"/>
      <c r="AM15" s="341" t="s">
        <v>1215</v>
      </c>
      <c r="AN15" s="341">
        <v>0</v>
      </c>
      <c r="AO15" s="341">
        <v>377220384</v>
      </c>
      <c r="AP15" s="342"/>
      <c r="AQ15" s="343"/>
      <c r="AR15" s="343"/>
      <c r="AS15" s="344"/>
      <c r="AT15" s="336"/>
      <c r="AU15" s="336"/>
      <c r="AV15" s="336"/>
    </row>
    <row r="16" spans="1:48" s="214" customFormat="1" ht="15.75" customHeight="1">
      <c r="A16" s="213"/>
      <c r="B16" s="335" t="s">
        <v>1219</v>
      </c>
      <c r="C16" s="336" t="s">
        <v>1195</v>
      </c>
      <c r="D16" s="336"/>
      <c r="E16" s="336"/>
      <c r="F16" s="336"/>
      <c r="G16" s="336"/>
      <c r="H16" s="337"/>
      <c r="I16" s="336"/>
      <c r="J16" s="336"/>
      <c r="K16" s="336" t="s">
        <v>1196</v>
      </c>
      <c r="L16" s="336">
        <v>42</v>
      </c>
      <c r="M16" s="336"/>
      <c r="N16" s="338"/>
      <c r="O16" s="338"/>
      <c r="P16" s="336"/>
      <c r="Q16" s="336"/>
      <c r="R16" s="339"/>
      <c r="S16" s="339"/>
      <c r="T16" s="339"/>
      <c r="U16" s="953">
        <v>21049242</v>
      </c>
      <c r="V16" s="953">
        <f t="shared" si="0"/>
        <v>231541662</v>
      </c>
      <c r="W16" s="341">
        <v>20000000</v>
      </c>
      <c r="X16" s="341">
        <f t="shared" si="1"/>
        <v>100000000</v>
      </c>
      <c r="Y16" s="340">
        <v>3000000</v>
      </c>
      <c r="Z16" s="340">
        <v>25000000</v>
      </c>
      <c r="AA16" s="341"/>
      <c r="AB16" s="341"/>
      <c r="AC16" s="341"/>
      <c r="AD16" s="341"/>
      <c r="AE16" s="341"/>
      <c r="AF16" s="341" t="s">
        <v>1204</v>
      </c>
      <c r="AG16" s="953">
        <v>500000</v>
      </c>
      <c r="AH16" s="341">
        <f>AG16*15</f>
        <v>7500000</v>
      </c>
      <c r="AI16" s="341">
        <v>45500000</v>
      </c>
      <c r="AJ16" s="341">
        <f t="shared" si="2"/>
        <v>70500000</v>
      </c>
      <c r="AK16" s="340">
        <v>15000000</v>
      </c>
      <c r="AL16" s="961"/>
      <c r="AM16" s="341" t="s">
        <v>1208</v>
      </c>
      <c r="AN16" s="341">
        <v>0</v>
      </c>
      <c r="AO16" s="341">
        <v>353505181</v>
      </c>
      <c r="AP16" s="342"/>
      <c r="AQ16" s="343"/>
      <c r="AR16" s="343"/>
      <c r="AS16" s="344"/>
      <c r="AT16" s="336"/>
      <c r="AU16" s="336" t="s">
        <v>1199</v>
      </c>
      <c r="AV16" s="336"/>
    </row>
    <row r="17" spans="1:48" s="214" customFormat="1" ht="15.75" customHeight="1">
      <c r="A17" s="213"/>
      <c r="B17" s="335" t="s">
        <v>1220</v>
      </c>
      <c r="C17" s="336" t="s">
        <v>1195</v>
      </c>
      <c r="D17" s="336"/>
      <c r="E17" s="336"/>
      <c r="F17" s="336"/>
      <c r="G17" s="336"/>
      <c r="H17" s="337"/>
      <c r="I17" s="336"/>
      <c r="J17" s="336"/>
      <c r="K17" s="336" t="s">
        <v>1196</v>
      </c>
      <c r="L17" s="336">
        <v>42</v>
      </c>
      <c r="M17" s="336"/>
      <c r="N17" s="338"/>
      <c r="O17" s="338"/>
      <c r="P17" s="336"/>
      <c r="Q17" s="336"/>
      <c r="R17" s="339"/>
      <c r="S17" s="339"/>
      <c r="T17" s="339"/>
      <c r="U17" s="953">
        <v>21049242</v>
      </c>
      <c r="V17" s="953">
        <f>U17*11</f>
        <v>231541662</v>
      </c>
      <c r="W17" s="341">
        <v>15000000</v>
      </c>
      <c r="X17" s="341">
        <f>W17*5</f>
        <v>75000000</v>
      </c>
      <c r="Y17" s="340">
        <v>3000000</v>
      </c>
      <c r="Z17" s="340">
        <v>25000000</v>
      </c>
      <c r="AA17" s="341"/>
      <c r="AB17" s="341"/>
      <c r="AC17" s="341"/>
      <c r="AD17" s="341"/>
      <c r="AE17" s="341"/>
      <c r="AF17" s="341" t="s">
        <v>1204</v>
      </c>
      <c r="AG17" s="953">
        <v>500000</v>
      </c>
      <c r="AH17" s="341">
        <f>AG17*15</f>
        <v>7500000</v>
      </c>
      <c r="AI17" s="341">
        <v>45500000</v>
      </c>
      <c r="AJ17" s="341">
        <f t="shared" si="2"/>
        <v>70500000</v>
      </c>
      <c r="AK17" s="340">
        <v>15000000</v>
      </c>
      <c r="AL17" s="961"/>
      <c r="AM17" s="341" t="s">
        <v>1208</v>
      </c>
      <c r="AN17" s="341">
        <v>0</v>
      </c>
      <c r="AO17" s="341">
        <v>353505181</v>
      </c>
      <c r="AP17" s="342"/>
      <c r="AQ17" s="343"/>
      <c r="AR17" s="343"/>
      <c r="AS17" s="344"/>
      <c r="AT17" s="336"/>
      <c r="AU17" s="336"/>
      <c r="AV17" s="336"/>
    </row>
    <row r="18" spans="1:48" s="214" customFormat="1" ht="15.75" customHeight="1">
      <c r="A18" s="213"/>
      <c r="B18" s="335" t="s">
        <v>1221</v>
      </c>
      <c r="C18" s="336" t="s">
        <v>1195</v>
      </c>
      <c r="D18" s="336"/>
      <c r="E18" s="336"/>
      <c r="F18" s="336"/>
      <c r="G18" s="336"/>
      <c r="H18" s="337"/>
      <c r="I18" s="336"/>
      <c r="J18" s="336"/>
      <c r="K18" s="336" t="s">
        <v>1196</v>
      </c>
      <c r="L18" s="336">
        <v>42</v>
      </c>
      <c r="M18" s="336"/>
      <c r="N18" s="338"/>
      <c r="O18" s="338"/>
      <c r="P18" s="336"/>
      <c r="Q18" s="336"/>
      <c r="R18" s="339"/>
      <c r="S18" s="339"/>
      <c r="T18" s="339"/>
      <c r="U18" s="953">
        <v>21049242</v>
      </c>
      <c r="V18" s="953">
        <f t="shared" si="0"/>
        <v>231541662</v>
      </c>
      <c r="W18" s="341">
        <v>15000000</v>
      </c>
      <c r="X18" s="341">
        <f t="shared" si="1"/>
        <v>75000000</v>
      </c>
      <c r="Y18" s="340">
        <v>3000000</v>
      </c>
      <c r="Z18" s="340">
        <v>25000000</v>
      </c>
      <c r="AA18" s="341"/>
      <c r="AB18" s="341"/>
      <c r="AC18" s="341"/>
      <c r="AD18" s="341"/>
      <c r="AE18" s="341"/>
      <c r="AF18" s="341" t="s">
        <v>1222</v>
      </c>
      <c r="AG18" s="953">
        <v>500000</v>
      </c>
      <c r="AH18" s="341">
        <f>AG18*23</f>
        <v>11500000</v>
      </c>
      <c r="AI18" s="341">
        <v>51980000</v>
      </c>
      <c r="AJ18" s="341">
        <f t="shared" si="2"/>
        <v>76980000</v>
      </c>
      <c r="AK18" s="340">
        <v>15000000</v>
      </c>
      <c r="AL18" s="961"/>
      <c r="AM18" s="341" t="s">
        <v>1208</v>
      </c>
      <c r="AN18" s="341">
        <v>0</v>
      </c>
      <c r="AO18" s="341">
        <v>353505181</v>
      </c>
      <c r="AP18" s="342"/>
      <c r="AQ18" s="343"/>
      <c r="AR18" s="343"/>
      <c r="AS18" s="344"/>
      <c r="AT18" s="336"/>
      <c r="AU18" s="336" t="s">
        <v>1199</v>
      </c>
      <c r="AV18" s="336"/>
    </row>
    <row r="19" spans="1:48" s="214" customFormat="1" ht="15.75" customHeight="1">
      <c r="A19" s="213"/>
      <c r="B19" s="335" t="s">
        <v>1223</v>
      </c>
      <c r="C19" s="336" t="s">
        <v>1195</v>
      </c>
      <c r="D19" s="336"/>
      <c r="E19" s="336"/>
      <c r="F19" s="336"/>
      <c r="G19" s="336"/>
      <c r="H19" s="337"/>
      <c r="I19" s="336"/>
      <c r="J19" s="336"/>
      <c r="K19" s="336" t="s">
        <v>1196</v>
      </c>
      <c r="L19" s="336">
        <v>32</v>
      </c>
      <c r="M19" s="336"/>
      <c r="N19" s="338"/>
      <c r="O19" s="338"/>
      <c r="P19" s="336"/>
      <c r="Q19" s="336"/>
      <c r="R19" s="339"/>
      <c r="S19" s="339"/>
      <c r="T19" s="339"/>
      <c r="U19" s="953">
        <v>21049242</v>
      </c>
      <c r="V19" s="953">
        <f>U19*11</f>
        <v>231541662</v>
      </c>
      <c r="W19" s="341">
        <v>20000000</v>
      </c>
      <c r="X19" s="341">
        <f t="shared" si="1"/>
        <v>100000000</v>
      </c>
      <c r="Y19" s="340">
        <v>3000000</v>
      </c>
      <c r="Z19" s="340">
        <v>25000000</v>
      </c>
      <c r="AA19" s="341"/>
      <c r="AB19" s="341"/>
      <c r="AC19" s="341"/>
      <c r="AD19" s="341"/>
      <c r="AE19" s="341"/>
      <c r="AF19" s="341" t="s">
        <v>1224</v>
      </c>
      <c r="AG19" s="953">
        <v>500000</v>
      </c>
      <c r="AH19" s="341">
        <f>AG19*34</f>
        <v>17000000</v>
      </c>
      <c r="AI19" s="341">
        <v>38500000</v>
      </c>
      <c r="AJ19" s="341">
        <f t="shared" si="2"/>
        <v>63500000</v>
      </c>
      <c r="AK19" s="340">
        <v>15000000</v>
      </c>
      <c r="AL19" s="961"/>
      <c r="AM19" s="341" t="s">
        <v>1215</v>
      </c>
      <c r="AN19" s="341" t="s">
        <v>1218</v>
      </c>
      <c r="AO19" s="341">
        <v>377220384</v>
      </c>
      <c r="AP19" s="342"/>
      <c r="AQ19" s="343"/>
      <c r="AR19" s="343"/>
      <c r="AS19" s="344"/>
      <c r="AT19" s="336"/>
      <c r="AU19" s="336" t="s">
        <v>1199</v>
      </c>
      <c r="AV19" s="336"/>
    </row>
    <row r="20" spans="1:48" s="214" customFormat="1" ht="15.75" customHeight="1">
      <c r="A20" s="213"/>
      <c r="B20" s="335" t="s">
        <v>1225</v>
      </c>
      <c r="C20" s="336" t="s">
        <v>1195</v>
      </c>
      <c r="D20" s="336"/>
      <c r="E20" s="336"/>
      <c r="F20" s="336"/>
      <c r="G20" s="336"/>
      <c r="H20" s="337"/>
      <c r="I20" s="336"/>
      <c r="J20" s="336"/>
      <c r="K20" s="336" t="s">
        <v>1196</v>
      </c>
      <c r="L20" s="336">
        <v>32</v>
      </c>
      <c r="M20" s="336"/>
      <c r="N20" s="338"/>
      <c r="O20" s="338"/>
      <c r="P20" s="336"/>
      <c r="Q20" s="336"/>
      <c r="R20" s="339"/>
      <c r="S20" s="339"/>
      <c r="T20" s="339"/>
      <c r="U20" s="953">
        <v>21049242</v>
      </c>
      <c r="V20" s="953">
        <f>U20*11</f>
        <v>231541662</v>
      </c>
      <c r="W20" s="341">
        <v>20000000</v>
      </c>
      <c r="X20" s="341">
        <f t="shared" si="1"/>
        <v>100000000</v>
      </c>
      <c r="Y20" s="340">
        <v>3000000</v>
      </c>
      <c r="Z20" s="340">
        <v>25000000</v>
      </c>
      <c r="AA20" s="341"/>
      <c r="AB20" s="341"/>
      <c r="AC20" s="341"/>
      <c r="AD20" s="341"/>
      <c r="AE20" s="341"/>
      <c r="AF20" s="341" t="s">
        <v>1226</v>
      </c>
      <c r="AG20" s="953">
        <v>500000</v>
      </c>
      <c r="AH20" s="341">
        <f>AG20*8</f>
        <v>4000000</v>
      </c>
      <c r="AI20" s="341">
        <v>58500000</v>
      </c>
      <c r="AJ20" s="341">
        <f t="shared" si="2"/>
        <v>83500000</v>
      </c>
      <c r="AK20" s="340">
        <v>15000000</v>
      </c>
      <c r="AL20" s="961"/>
      <c r="AM20" s="341" t="s">
        <v>1215</v>
      </c>
      <c r="AN20" s="341"/>
      <c r="AO20" s="341">
        <v>377220384</v>
      </c>
      <c r="AP20" s="342"/>
      <c r="AQ20" s="343"/>
      <c r="AR20" s="343"/>
      <c r="AS20" s="344"/>
      <c r="AT20" s="336"/>
      <c r="AU20" s="336"/>
      <c r="AV20" s="336"/>
    </row>
    <row r="21" spans="1:48" s="214" customFormat="1" ht="15.75" customHeight="1">
      <c r="A21" s="213"/>
      <c r="B21" s="335" t="s">
        <v>1227</v>
      </c>
      <c r="C21" s="336" t="s">
        <v>1195</v>
      </c>
      <c r="D21" s="336"/>
      <c r="E21" s="336"/>
      <c r="F21" s="336"/>
      <c r="G21" s="336"/>
      <c r="H21" s="337"/>
      <c r="I21" s="336"/>
      <c r="J21" s="336"/>
      <c r="K21" s="336" t="s">
        <v>1196</v>
      </c>
      <c r="L21" s="336">
        <v>42</v>
      </c>
      <c r="M21" s="336"/>
      <c r="N21" s="338"/>
      <c r="O21" s="338"/>
      <c r="P21" s="336"/>
      <c r="Q21" s="336"/>
      <c r="R21" s="339"/>
      <c r="S21" s="339"/>
      <c r="T21" s="339"/>
      <c r="U21" s="953">
        <v>21049242</v>
      </c>
      <c r="V21" s="953">
        <f>U21*11</f>
        <v>231541662</v>
      </c>
      <c r="W21" s="341">
        <v>18000000</v>
      </c>
      <c r="X21" s="341">
        <f t="shared" si="1"/>
        <v>90000000</v>
      </c>
      <c r="Y21" s="340">
        <v>3000000</v>
      </c>
      <c r="Z21" s="340">
        <v>25000000</v>
      </c>
      <c r="AA21" s="341"/>
      <c r="AB21" s="341"/>
      <c r="AC21" s="341"/>
      <c r="AD21" s="341"/>
      <c r="AE21" s="341"/>
      <c r="AF21" s="341" t="s">
        <v>1228</v>
      </c>
      <c r="AG21" s="953">
        <v>500000</v>
      </c>
      <c r="AH21" s="341">
        <f>AG21*21</f>
        <v>10500000</v>
      </c>
      <c r="AI21" s="341">
        <v>59500000</v>
      </c>
      <c r="AJ21" s="341">
        <f t="shared" si="2"/>
        <v>84500000</v>
      </c>
      <c r="AK21" s="340">
        <v>15000000</v>
      </c>
      <c r="AL21" s="961"/>
      <c r="AM21" s="341" t="s">
        <v>1208</v>
      </c>
      <c r="AN21" s="341"/>
      <c r="AO21" s="341">
        <v>377220384</v>
      </c>
      <c r="AP21" s="342"/>
      <c r="AQ21" s="343"/>
      <c r="AR21" s="343"/>
      <c r="AS21" s="344"/>
      <c r="AT21" s="336"/>
      <c r="AU21" s="336"/>
      <c r="AV21" s="336"/>
    </row>
    <row r="22" spans="1:48" s="214" customFormat="1" ht="15.75" customHeight="1">
      <c r="A22" s="213"/>
      <c r="B22" s="335" t="s">
        <v>1229</v>
      </c>
      <c r="C22" s="336" t="s">
        <v>1195</v>
      </c>
      <c r="D22" s="336"/>
      <c r="E22" s="336"/>
      <c r="F22" s="336"/>
      <c r="G22" s="336"/>
      <c r="H22" s="337"/>
      <c r="I22" s="336"/>
      <c r="J22" s="336"/>
      <c r="K22" s="336" t="s">
        <v>1196</v>
      </c>
      <c r="L22" s="336">
        <v>42</v>
      </c>
      <c r="M22" s="336"/>
      <c r="N22" s="338"/>
      <c r="O22" s="338"/>
      <c r="P22" s="336"/>
      <c r="Q22" s="336"/>
      <c r="R22" s="339"/>
      <c r="S22" s="339"/>
      <c r="T22" s="339"/>
      <c r="U22" s="953">
        <v>21049242</v>
      </c>
      <c r="V22" s="953">
        <f>U22*11</f>
        <v>231541662</v>
      </c>
      <c r="W22" s="341">
        <v>18000000</v>
      </c>
      <c r="X22" s="341">
        <f t="shared" si="1"/>
        <v>90000000</v>
      </c>
      <c r="Y22" s="340">
        <v>3000000</v>
      </c>
      <c r="Z22" s="340">
        <v>25000000</v>
      </c>
      <c r="AA22" s="341"/>
      <c r="AB22" s="341"/>
      <c r="AC22" s="341"/>
      <c r="AD22" s="341"/>
      <c r="AE22" s="341"/>
      <c r="AF22" s="341" t="s">
        <v>1212</v>
      </c>
      <c r="AG22" s="953">
        <v>500000</v>
      </c>
      <c r="AH22" s="341">
        <f>AG22*16</f>
        <v>8000000</v>
      </c>
      <c r="AI22" s="341">
        <v>51000000</v>
      </c>
      <c r="AJ22" s="341">
        <f t="shared" si="2"/>
        <v>76000000</v>
      </c>
      <c r="AK22" s="340">
        <v>15000000</v>
      </c>
      <c r="AL22" s="961"/>
      <c r="AM22" s="341" t="s">
        <v>1208</v>
      </c>
      <c r="AN22" s="341"/>
      <c r="AO22" s="341">
        <v>377220384</v>
      </c>
      <c r="AP22" s="342"/>
      <c r="AQ22" s="343"/>
      <c r="AR22" s="343"/>
      <c r="AS22" s="344"/>
      <c r="AT22" s="336"/>
      <c r="AU22" s="336"/>
      <c r="AV22" s="336"/>
    </row>
    <row r="23" spans="1:48" s="214" customFormat="1" ht="15.75" customHeight="1">
      <c r="A23" s="213"/>
      <c r="B23" s="335" t="s">
        <v>1230</v>
      </c>
      <c r="C23" s="336" t="s">
        <v>1195</v>
      </c>
      <c r="D23" s="336"/>
      <c r="E23" s="336"/>
      <c r="F23" s="336"/>
      <c r="G23" s="336"/>
      <c r="H23" s="337"/>
      <c r="I23" s="336"/>
      <c r="J23" s="336"/>
      <c r="K23" s="336" t="s">
        <v>1196</v>
      </c>
      <c r="L23" s="336">
        <v>42</v>
      </c>
      <c r="M23" s="336"/>
      <c r="N23" s="338"/>
      <c r="O23" s="338"/>
      <c r="P23" s="336"/>
      <c r="Q23" s="336"/>
      <c r="R23" s="339"/>
      <c r="S23" s="339"/>
      <c r="T23" s="339"/>
      <c r="U23" s="953">
        <v>21049242</v>
      </c>
      <c r="V23" s="953">
        <f>U23*11</f>
        <v>231541662</v>
      </c>
      <c r="W23" s="341">
        <v>20000000</v>
      </c>
      <c r="X23" s="341">
        <f t="shared" si="1"/>
        <v>100000000</v>
      </c>
      <c r="Y23" s="340">
        <v>3000000</v>
      </c>
      <c r="Z23" s="340">
        <v>25000000</v>
      </c>
      <c r="AA23" s="341"/>
      <c r="AB23" s="341"/>
      <c r="AC23" s="341"/>
      <c r="AD23" s="341"/>
      <c r="AE23" s="341"/>
      <c r="AF23" s="341" t="s">
        <v>1228</v>
      </c>
      <c r="AG23" s="953">
        <v>500000</v>
      </c>
      <c r="AH23" s="341">
        <f>AG23*21</f>
        <v>10500000</v>
      </c>
      <c r="AI23" s="341">
        <v>56500000</v>
      </c>
      <c r="AJ23" s="341">
        <f t="shared" si="2"/>
        <v>81500000</v>
      </c>
      <c r="AK23" s="340">
        <v>15000000</v>
      </c>
      <c r="AL23" s="961"/>
      <c r="AM23" s="341" t="s">
        <v>1208</v>
      </c>
      <c r="AN23" s="341"/>
      <c r="AO23" s="341">
        <v>377220384</v>
      </c>
      <c r="AP23" s="342"/>
      <c r="AQ23" s="343"/>
      <c r="AR23" s="343"/>
      <c r="AS23" s="344"/>
      <c r="AT23" s="336"/>
      <c r="AU23" s="336"/>
      <c r="AV23" s="336"/>
    </row>
    <row r="24" spans="1:48" s="214" customFormat="1" ht="15.75" customHeight="1">
      <c r="A24" s="213"/>
      <c r="B24" s="335" t="s">
        <v>1231</v>
      </c>
      <c r="C24" s="336" t="s">
        <v>1195</v>
      </c>
      <c r="D24" s="336"/>
      <c r="E24" s="336"/>
      <c r="F24" s="336"/>
      <c r="G24" s="336"/>
      <c r="H24" s="337"/>
      <c r="I24" s="336"/>
      <c r="J24" s="336"/>
      <c r="K24" s="336" t="s">
        <v>1196</v>
      </c>
      <c r="L24" s="336">
        <v>42</v>
      </c>
      <c r="M24" s="336"/>
      <c r="N24" s="338"/>
      <c r="O24" s="338"/>
      <c r="P24" s="336"/>
      <c r="Q24" s="336"/>
      <c r="R24" s="339"/>
      <c r="S24" s="339"/>
      <c r="T24" s="339"/>
      <c r="U24" s="953">
        <v>21049242</v>
      </c>
      <c r="V24" s="953">
        <f t="shared" ref="V24:V40" si="4">U24*11</f>
        <v>231541662</v>
      </c>
      <c r="W24" s="341">
        <v>20000000</v>
      </c>
      <c r="X24" s="341">
        <f t="shared" si="1"/>
        <v>100000000</v>
      </c>
      <c r="Y24" s="340">
        <v>3000000</v>
      </c>
      <c r="Z24" s="340">
        <v>25000000</v>
      </c>
      <c r="AA24" s="341"/>
      <c r="AB24" s="341"/>
      <c r="AC24" s="341"/>
      <c r="AD24" s="341"/>
      <c r="AE24" s="341"/>
      <c r="AF24" s="341" t="s">
        <v>1210</v>
      </c>
      <c r="AG24" s="953">
        <v>500000</v>
      </c>
      <c r="AH24" s="341">
        <f>AG24*26</f>
        <v>13000000</v>
      </c>
      <c r="AI24" s="341">
        <v>51500000</v>
      </c>
      <c r="AJ24" s="341">
        <f t="shared" si="2"/>
        <v>76500000</v>
      </c>
      <c r="AK24" s="340">
        <v>15000000</v>
      </c>
      <c r="AL24" s="961"/>
      <c r="AM24" s="341" t="s">
        <v>1208</v>
      </c>
      <c r="AN24" s="341"/>
      <c r="AO24" s="341">
        <v>377220384</v>
      </c>
      <c r="AP24" s="342"/>
      <c r="AQ24" s="343"/>
      <c r="AR24" s="343"/>
      <c r="AS24" s="344"/>
      <c r="AT24" s="336"/>
      <c r="AU24" s="336"/>
      <c r="AV24" s="336"/>
    </row>
    <row r="25" spans="1:48" s="214" customFormat="1" ht="15.75" customHeight="1">
      <c r="A25" s="213"/>
      <c r="B25" s="335" t="s">
        <v>1232</v>
      </c>
      <c r="C25" s="336" t="s">
        <v>1195</v>
      </c>
      <c r="D25" s="336"/>
      <c r="E25" s="336"/>
      <c r="F25" s="336"/>
      <c r="G25" s="336"/>
      <c r="H25" s="337"/>
      <c r="I25" s="336"/>
      <c r="J25" s="336"/>
      <c r="K25" s="336" t="s">
        <v>1196</v>
      </c>
      <c r="L25" s="336">
        <v>42</v>
      </c>
      <c r="M25" s="336"/>
      <c r="N25" s="338"/>
      <c r="O25" s="338"/>
      <c r="P25" s="336"/>
      <c r="Q25" s="336"/>
      <c r="R25" s="339"/>
      <c r="S25" s="339"/>
      <c r="T25" s="339"/>
      <c r="U25" s="953">
        <v>21049242</v>
      </c>
      <c r="V25" s="953">
        <f>U25*11</f>
        <v>231541662</v>
      </c>
      <c r="W25" s="341">
        <v>20000000</v>
      </c>
      <c r="X25" s="341">
        <f t="shared" si="1"/>
        <v>100000000</v>
      </c>
      <c r="Y25" s="340">
        <v>3000000</v>
      </c>
      <c r="Z25" s="340">
        <v>25000000</v>
      </c>
      <c r="AA25" s="341"/>
      <c r="AB25" s="341"/>
      <c r="AC25" s="341"/>
      <c r="AD25" s="341"/>
      <c r="AE25" s="341"/>
      <c r="AF25" s="341" t="s">
        <v>1210</v>
      </c>
      <c r="AG25" s="953">
        <v>500000</v>
      </c>
      <c r="AH25" s="341">
        <f>AG25*26</f>
        <v>13000000</v>
      </c>
      <c r="AI25" s="341">
        <v>50500000</v>
      </c>
      <c r="AJ25" s="341">
        <f t="shared" si="2"/>
        <v>75500000</v>
      </c>
      <c r="AK25" s="340">
        <v>15000000</v>
      </c>
      <c r="AL25" s="961"/>
      <c r="AM25" s="341" t="s">
        <v>1208</v>
      </c>
      <c r="AN25" s="341"/>
      <c r="AO25" s="341">
        <v>377220384</v>
      </c>
      <c r="AP25" s="342"/>
      <c r="AQ25" s="343"/>
      <c r="AR25" s="343"/>
      <c r="AS25" s="344"/>
      <c r="AT25" s="336"/>
      <c r="AU25" s="336"/>
      <c r="AV25" s="336"/>
    </row>
    <row r="26" spans="1:48" s="214" customFormat="1" ht="15.75" customHeight="1">
      <c r="A26" s="213"/>
      <c r="B26" s="335" t="s">
        <v>1233</v>
      </c>
      <c r="C26" s="336" t="s">
        <v>1195</v>
      </c>
      <c r="D26" s="336"/>
      <c r="E26" s="336"/>
      <c r="F26" s="336"/>
      <c r="G26" s="336"/>
      <c r="H26" s="337"/>
      <c r="I26" s="336"/>
      <c r="J26" s="336"/>
      <c r="K26" s="336" t="s">
        <v>1196</v>
      </c>
      <c r="L26" s="336">
        <v>52</v>
      </c>
      <c r="M26" s="336"/>
      <c r="N26" s="338"/>
      <c r="O26" s="338"/>
      <c r="P26" s="336"/>
      <c r="Q26" s="336"/>
      <c r="R26" s="339"/>
      <c r="S26" s="339"/>
      <c r="T26" s="339"/>
      <c r="U26" s="953">
        <v>21049242</v>
      </c>
      <c r="V26" s="953">
        <f>U26*11</f>
        <v>231541662</v>
      </c>
      <c r="W26" s="341">
        <v>20000000</v>
      </c>
      <c r="X26" s="341">
        <f t="shared" si="1"/>
        <v>100000000</v>
      </c>
      <c r="Y26" s="340">
        <v>3000000</v>
      </c>
      <c r="Z26" s="340">
        <v>25000000</v>
      </c>
      <c r="AA26" s="341"/>
      <c r="AB26" s="341"/>
      <c r="AC26" s="341"/>
      <c r="AD26" s="341"/>
      <c r="AE26" s="341"/>
      <c r="AF26" s="341" t="s">
        <v>1234</v>
      </c>
      <c r="AG26" s="953">
        <v>500000</v>
      </c>
      <c r="AH26" s="341">
        <f>AG26*60</f>
        <v>30000000</v>
      </c>
      <c r="AI26" s="341">
        <v>44000000</v>
      </c>
      <c r="AJ26" s="341">
        <f t="shared" si="2"/>
        <v>69000000</v>
      </c>
      <c r="AK26" s="340">
        <v>15000000</v>
      </c>
      <c r="AL26" s="961"/>
      <c r="AM26" s="341" t="s">
        <v>1205</v>
      </c>
      <c r="AN26" s="341"/>
      <c r="AO26" s="341">
        <v>377220384</v>
      </c>
      <c r="AP26" s="342"/>
      <c r="AQ26" s="343"/>
      <c r="AR26" s="343"/>
      <c r="AS26" s="344"/>
      <c r="AT26" s="336"/>
      <c r="AU26" s="336"/>
      <c r="AV26" s="336"/>
    </row>
    <row r="27" spans="1:48" s="214" customFormat="1" ht="15.75" customHeight="1">
      <c r="A27" s="213"/>
      <c r="B27" s="335" t="s">
        <v>1235</v>
      </c>
      <c r="C27" s="336" t="s">
        <v>1195</v>
      </c>
      <c r="D27" s="336"/>
      <c r="E27" s="336"/>
      <c r="F27" s="336"/>
      <c r="G27" s="336"/>
      <c r="H27" s="337"/>
      <c r="I27" s="336"/>
      <c r="J27" s="336"/>
      <c r="K27" s="336" t="s">
        <v>1196</v>
      </c>
      <c r="L27" s="336">
        <v>52</v>
      </c>
      <c r="M27" s="336"/>
      <c r="N27" s="338"/>
      <c r="O27" s="338"/>
      <c r="P27" s="336"/>
      <c r="Q27" s="336"/>
      <c r="R27" s="339"/>
      <c r="S27" s="339"/>
      <c r="T27" s="339"/>
      <c r="U27" s="953">
        <v>21049242</v>
      </c>
      <c r="V27" s="953">
        <f>U27*11</f>
        <v>231541662</v>
      </c>
      <c r="W27" s="341">
        <v>20000000</v>
      </c>
      <c r="X27" s="341">
        <f t="shared" si="1"/>
        <v>100000000</v>
      </c>
      <c r="Y27" s="340">
        <v>3000000</v>
      </c>
      <c r="Z27" s="340">
        <v>25000000</v>
      </c>
      <c r="AA27" s="341"/>
      <c r="AB27" s="341"/>
      <c r="AC27" s="341"/>
      <c r="AD27" s="341"/>
      <c r="AE27" s="341"/>
      <c r="AF27" s="341" t="s">
        <v>1236</v>
      </c>
      <c r="AG27" s="953">
        <v>500000</v>
      </c>
      <c r="AH27" s="341">
        <f>AG27*58</f>
        <v>29000000</v>
      </c>
      <c r="AI27" s="341">
        <v>43500000</v>
      </c>
      <c r="AJ27" s="341">
        <f t="shared" si="2"/>
        <v>68500000</v>
      </c>
      <c r="AK27" s="340">
        <v>15000000</v>
      </c>
      <c r="AL27" s="961"/>
      <c r="AM27" s="341" t="s">
        <v>1205</v>
      </c>
      <c r="AN27" s="341"/>
      <c r="AO27" s="341">
        <v>377220384</v>
      </c>
      <c r="AP27" s="342"/>
      <c r="AQ27" s="343"/>
      <c r="AR27" s="343"/>
      <c r="AS27" s="344"/>
      <c r="AT27" s="336"/>
      <c r="AU27" s="336"/>
      <c r="AV27" s="336"/>
    </row>
    <row r="28" spans="1:48" s="214" customFormat="1" ht="15.75" customHeight="1">
      <c r="A28" s="213"/>
      <c r="B28" s="335" t="s">
        <v>1237</v>
      </c>
      <c r="C28" s="336" t="s">
        <v>1195</v>
      </c>
      <c r="D28" s="336"/>
      <c r="E28" s="336"/>
      <c r="F28" s="336"/>
      <c r="G28" s="336"/>
      <c r="H28" s="337"/>
      <c r="I28" s="336"/>
      <c r="J28" s="336"/>
      <c r="K28" s="336" t="s">
        <v>1196</v>
      </c>
      <c r="L28" s="336">
        <v>52</v>
      </c>
      <c r="M28" s="336"/>
      <c r="N28" s="338"/>
      <c r="O28" s="338"/>
      <c r="P28" s="336"/>
      <c r="Q28" s="336"/>
      <c r="R28" s="339"/>
      <c r="S28" s="339"/>
      <c r="T28" s="339"/>
      <c r="U28" s="953">
        <v>21049242</v>
      </c>
      <c r="V28" s="953">
        <f>U28*11</f>
        <v>231541662</v>
      </c>
      <c r="W28" s="341">
        <v>22500000</v>
      </c>
      <c r="X28" s="341">
        <f t="shared" si="1"/>
        <v>112500000</v>
      </c>
      <c r="Y28" s="340">
        <v>3000000</v>
      </c>
      <c r="Z28" s="340">
        <v>25000000</v>
      </c>
      <c r="AA28" s="341"/>
      <c r="AB28" s="341"/>
      <c r="AC28" s="341"/>
      <c r="AD28" s="341"/>
      <c r="AE28" s="341"/>
      <c r="AF28" s="341" t="s">
        <v>1238</v>
      </c>
      <c r="AG28" s="953">
        <v>1000000</v>
      </c>
      <c r="AH28" s="341">
        <f>AG28*49</f>
        <v>49000000</v>
      </c>
      <c r="AI28" s="341">
        <v>23000000</v>
      </c>
      <c r="AJ28" s="341">
        <f t="shared" si="2"/>
        <v>48000000</v>
      </c>
      <c r="AK28" s="340">
        <v>15000000</v>
      </c>
      <c r="AL28" s="961"/>
      <c r="AM28" s="341" t="s">
        <v>1205</v>
      </c>
      <c r="AN28" s="341"/>
      <c r="AO28" s="341">
        <v>377220384</v>
      </c>
      <c r="AP28" s="342"/>
      <c r="AQ28" s="343"/>
      <c r="AR28" s="343"/>
      <c r="AS28" s="344"/>
      <c r="AT28" s="336"/>
      <c r="AU28" s="336"/>
      <c r="AV28" s="336"/>
    </row>
    <row r="29" spans="1:48" s="214" customFormat="1" ht="15.75" customHeight="1">
      <c r="A29" s="213"/>
      <c r="B29" s="335" t="s">
        <v>1239</v>
      </c>
      <c r="C29" s="336" t="s">
        <v>1195</v>
      </c>
      <c r="D29" s="336"/>
      <c r="E29" s="336"/>
      <c r="F29" s="336"/>
      <c r="G29" s="336"/>
      <c r="H29" s="337"/>
      <c r="I29" s="336"/>
      <c r="J29" s="336"/>
      <c r="K29" s="336" t="s">
        <v>1196</v>
      </c>
      <c r="L29" s="336">
        <v>36</v>
      </c>
      <c r="M29" s="336"/>
      <c r="N29" s="338"/>
      <c r="O29" s="338"/>
      <c r="P29" s="336"/>
      <c r="Q29" s="336"/>
      <c r="R29" s="339"/>
      <c r="S29" s="339"/>
      <c r="T29" s="339"/>
      <c r="U29" s="953">
        <v>21049242</v>
      </c>
      <c r="V29" s="953">
        <f>U29*11</f>
        <v>231541662</v>
      </c>
      <c r="W29" s="341">
        <v>19000000</v>
      </c>
      <c r="X29" s="341">
        <f t="shared" si="1"/>
        <v>95000000</v>
      </c>
      <c r="Y29" s="340">
        <v>3000000</v>
      </c>
      <c r="Z29" s="340">
        <v>25000000</v>
      </c>
      <c r="AA29" s="341"/>
      <c r="AB29" s="341"/>
      <c r="AC29" s="341"/>
      <c r="AD29" s="341"/>
      <c r="AE29" s="341"/>
      <c r="AF29" s="341" t="s">
        <v>1240</v>
      </c>
      <c r="AG29" s="953">
        <v>2000000</v>
      </c>
      <c r="AH29" s="341">
        <f>AG29*18</f>
        <v>36000000</v>
      </c>
      <c r="AI29" s="341">
        <v>32000000</v>
      </c>
      <c r="AJ29" s="341">
        <f t="shared" si="2"/>
        <v>57000000</v>
      </c>
      <c r="AK29" s="340">
        <v>15000000</v>
      </c>
      <c r="AL29" s="961"/>
      <c r="AM29" s="341" t="s">
        <v>1241</v>
      </c>
      <c r="AN29" s="341"/>
      <c r="AO29" s="341">
        <v>433505181.050313</v>
      </c>
      <c r="AP29" s="342"/>
      <c r="AQ29" s="343"/>
      <c r="AR29" s="343"/>
      <c r="AS29" s="344"/>
      <c r="AT29" s="336"/>
      <c r="AU29" s="336"/>
      <c r="AV29" s="336"/>
    </row>
    <row r="30" spans="1:48" s="214" customFormat="1" ht="15.75" customHeight="1">
      <c r="A30" s="213"/>
      <c r="B30" s="337" t="s">
        <v>1242</v>
      </c>
      <c r="C30" s="346" t="s">
        <v>19</v>
      </c>
      <c r="D30" s="336"/>
      <c r="E30" s="339"/>
      <c r="F30" s="336"/>
      <c r="G30" s="336"/>
      <c r="H30" s="336"/>
      <c r="I30" s="336"/>
      <c r="J30" s="336"/>
      <c r="K30" s="336" t="s">
        <v>1196</v>
      </c>
      <c r="L30" s="336">
        <v>42</v>
      </c>
      <c r="M30" s="336"/>
      <c r="N30" s="338"/>
      <c r="O30" s="338"/>
      <c r="P30" s="336"/>
      <c r="Q30" s="336"/>
      <c r="R30" s="339"/>
      <c r="S30" s="339"/>
      <c r="T30" s="339"/>
      <c r="U30" s="953">
        <v>21049242</v>
      </c>
      <c r="V30" s="953">
        <f t="shared" si="4"/>
        <v>231541662</v>
      </c>
      <c r="W30" s="341">
        <v>19000000</v>
      </c>
      <c r="X30" s="341">
        <f>W30*5</f>
        <v>95000000</v>
      </c>
      <c r="Y30" s="340">
        <v>3000000</v>
      </c>
      <c r="Z30" s="340">
        <v>25000000</v>
      </c>
      <c r="AA30" s="341"/>
      <c r="AB30" s="341"/>
      <c r="AC30" s="341"/>
      <c r="AD30" s="341"/>
      <c r="AE30" s="341"/>
      <c r="AF30" s="341" t="s">
        <v>1243</v>
      </c>
      <c r="AG30" s="953">
        <v>1000000</v>
      </c>
      <c r="AH30" s="341">
        <v>11000000</v>
      </c>
      <c r="AI30" s="341">
        <v>45500000</v>
      </c>
      <c r="AJ30" s="341">
        <f t="shared" si="2"/>
        <v>70500000</v>
      </c>
      <c r="AK30" s="340">
        <v>15000000</v>
      </c>
      <c r="AL30" s="961"/>
      <c r="AM30" s="341" t="s">
        <v>1208</v>
      </c>
      <c r="AN30" s="341"/>
      <c r="AO30" s="341">
        <v>377220384</v>
      </c>
      <c r="AP30" s="342"/>
      <c r="AQ30" s="343"/>
      <c r="AR30" s="343"/>
      <c r="AS30" s="344"/>
      <c r="AT30" s="336"/>
      <c r="AU30" s="336" t="s">
        <v>1199</v>
      </c>
      <c r="AV30" s="336"/>
    </row>
    <row r="31" spans="1:48" s="214" customFormat="1" ht="15.75" customHeight="1">
      <c r="A31" s="213"/>
      <c r="B31" s="337" t="s">
        <v>1244</v>
      </c>
      <c r="C31" s="346" t="s">
        <v>19</v>
      </c>
      <c r="D31" s="336"/>
      <c r="E31" s="339"/>
      <c r="F31" s="336"/>
      <c r="G31" s="336"/>
      <c r="H31" s="336"/>
      <c r="I31" s="336"/>
      <c r="J31" s="336"/>
      <c r="K31" s="336" t="s">
        <v>1196</v>
      </c>
      <c r="L31" s="336">
        <v>42</v>
      </c>
      <c r="M31" s="336"/>
      <c r="N31" s="338"/>
      <c r="O31" s="338"/>
      <c r="P31" s="336"/>
      <c r="Q31" s="336"/>
      <c r="R31" s="339"/>
      <c r="S31" s="339"/>
      <c r="T31" s="339"/>
      <c r="U31" s="953">
        <v>21049242</v>
      </c>
      <c r="V31" s="953">
        <f t="shared" si="4"/>
        <v>231541662</v>
      </c>
      <c r="W31" s="341">
        <v>20000000</v>
      </c>
      <c r="X31" s="341">
        <f t="shared" ref="X31:X41" si="5">W31*5</f>
        <v>100000000</v>
      </c>
      <c r="Y31" s="340">
        <v>3000000</v>
      </c>
      <c r="Z31" s="340">
        <v>25000000</v>
      </c>
      <c r="AA31" s="341"/>
      <c r="AB31" s="341"/>
      <c r="AC31" s="341"/>
      <c r="AD31" s="341"/>
      <c r="AE31" s="341"/>
      <c r="AF31" s="341" t="s">
        <v>1135</v>
      </c>
      <c r="AG31" s="953">
        <v>500000</v>
      </c>
      <c r="AH31" s="341">
        <f>500000*30</f>
        <v>15000000</v>
      </c>
      <c r="AI31" s="341">
        <v>49500000</v>
      </c>
      <c r="AJ31" s="341">
        <f t="shared" si="2"/>
        <v>74500000</v>
      </c>
      <c r="AK31" s="340">
        <v>15000000</v>
      </c>
      <c r="AL31" s="961"/>
      <c r="AM31" s="341" t="s">
        <v>1208</v>
      </c>
      <c r="AN31" s="341"/>
      <c r="AO31" s="341">
        <v>377220384</v>
      </c>
      <c r="AP31" s="342"/>
      <c r="AQ31" s="343"/>
      <c r="AR31" s="343"/>
      <c r="AS31" s="344"/>
      <c r="AT31" s="336"/>
      <c r="AU31" s="336" t="s">
        <v>1199</v>
      </c>
      <c r="AV31" s="336"/>
    </row>
    <row r="32" spans="1:48" s="214" customFormat="1" ht="15.75" customHeight="1">
      <c r="A32" s="213"/>
      <c r="B32" s="337" t="s">
        <v>1245</v>
      </c>
      <c r="C32" s="346" t="s">
        <v>19</v>
      </c>
      <c r="D32" s="336"/>
      <c r="E32" s="339"/>
      <c r="F32" s="336"/>
      <c r="G32" s="336"/>
      <c r="H32" s="336"/>
      <c r="I32" s="336"/>
      <c r="J32" s="336"/>
      <c r="K32" s="336" t="s">
        <v>1196</v>
      </c>
      <c r="L32" s="336">
        <v>42</v>
      </c>
      <c r="M32" s="336"/>
      <c r="N32" s="338"/>
      <c r="O32" s="338"/>
      <c r="P32" s="336"/>
      <c r="Q32" s="336"/>
      <c r="R32" s="339"/>
      <c r="S32" s="339"/>
      <c r="T32" s="339"/>
      <c r="U32" s="953">
        <v>21049242</v>
      </c>
      <c r="V32" s="953">
        <f t="shared" si="4"/>
        <v>231541662</v>
      </c>
      <c r="W32" s="341">
        <v>20000000</v>
      </c>
      <c r="X32" s="341">
        <f t="shared" si="5"/>
        <v>100000000</v>
      </c>
      <c r="Y32" s="340">
        <v>3000000</v>
      </c>
      <c r="Z32" s="340">
        <v>25000000</v>
      </c>
      <c r="AA32" s="341"/>
      <c r="AB32" s="341"/>
      <c r="AC32" s="341"/>
      <c r="AD32" s="341"/>
      <c r="AE32" s="341"/>
      <c r="AF32" s="341" t="s">
        <v>1246</v>
      </c>
      <c r="AG32" s="953">
        <v>500000</v>
      </c>
      <c r="AH32" s="341">
        <f>500000*13</f>
        <v>6500000</v>
      </c>
      <c r="AI32" s="341">
        <v>54500000</v>
      </c>
      <c r="AJ32" s="341">
        <f t="shared" si="2"/>
        <v>79500000</v>
      </c>
      <c r="AK32" s="340">
        <v>15000000</v>
      </c>
      <c r="AL32" s="961"/>
      <c r="AM32" s="341" t="s">
        <v>1208</v>
      </c>
      <c r="AN32" s="341"/>
      <c r="AO32" s="341">
        <v>377220384</v>
      </c>
      <c r="AP32" s="342"/>
      <c r="AQ32" s="343"/>
      <c r="AR32" s="343"/>
      <c r="AS32" s="344"/>
      <c r="AT32" s="336"/>
      <c r="AU32" s="336" t="s">
        <v>166</v>
      </c>
      <c r="AV32" s="336"/>
    </row>
    <row r="33" spans="1:48" s="214" customFormat="1" ht="15.75" customHeight="1">
      <c r="A33" s="213"/>
      <c r="B33" s="337" t="s">
        <v>1748</v>
      </c>
      <c r="C33" s="346" t="s">
        <v>19</v>
      </c>
      <c r="D33" s="336"/>
      <c r="E33" s="339"/>
      <c r="F33" s="336"/>
      <c r="G33" s="336"/>
      <c r="H33" s="336"/>
      <c r="I33" s="336"/>
      <c r="J33" s="336"/>
      <c r="K33" s="336" t="s">
        <v>1196</v>
      </c>
      <c r="L33" s="336">
        <v>42</v>
      </c>
      <c r="M33" s="336"/>
      <c r="N33" s="338"/>
      <c r="O33" s="338"/>
      <c r="P33" s="336"/>
      <c r="Q33" s="336"/>
      <c r="R33" s="339"/>
      <c r="S33" s="339"/>
      <c r="T33" s="339"/>
      <c r="U33" s="953">
        <v>21049242</v>
      </c>
      <c r="V33" s="953">
        <f t="shared" si="4"/>
        <v>231541662</v>
      </c>
      <c r="W33" s="341">
        <v>19000000</v>
      </c>
      <c r="X33" s="341">
        <f t="shared" si="5"/>
        <v>95000000</v>
      </c>
      <c r="Y33" s="340">
        <v>3000000</v>
      </c>
      <c r="Z33" s="340">
        <v>25000000</v>
      </c>
      <c r="AA33" s="341"/>
      <c r="AB33" s="341"/>
      <c r="AC33" s="341"/>
      <c r="AD33" s="341"/>
      <c r="AE33" s="341"/>
      <c r="AF33" s="341" t="s">
        <v>1247</v>
      </c>
      <c r="AG33" s="953">
        <v>1000000</v>
      </c>
      <c r="AH33" s="341">
        <f>1000000*5</f>
        <v>5000000</v>
      </c>
      <c r="AI33" s="341">
        <v>49500000</v>
      </c>
      <c r="AJ33" s="341">
        <f t="shared" si="2"/>
        <v>74500000</v>
      </c>
      <c r="AK33" s="340">
        <v>15000000</v>
      </c>
      <c r="AL33" s="961"/>
      <c r="AM33" s="341" t="s">
        <v>1208</v>
      </c>
      <c r="AN33" s="341"/>
      <c r="AO33" s="341">
        <v>377220384</v>
      </c>
      <c r="AP33" s="342"/>
      <c r="AQ33" s="343"/>
      <c r="AR33" s="343"/>
      <c r="AS33" s="344"/>
      <c r="AT33" s="336"/>
      <c r="AU33" s="336" t="s">
        <v>166</v>
      </c>
      <c r="AV33" s="336"/>
    </row>
    <row r="34" spans="1:48" s="214" customFormat="1" ht="15.75" customHeight="1">
      <c r="A34" s="213"/>
      <c r="B34" s="337" t="s">
        <v>3074</v>
      </c>
      <c r="C34" s="346" t="s">
        <v>19</v>
      </c>
      <c r="D34" s="336"/>
      <c r="E34" s="339"/>
      <c r="F34" s="336"/>
      <c r="G34" s="336"/>
      <c r="H34" s="336"/>
      <c r="I34" s="336"/>
      <c r="J34" s="336"/>
      <c r="K34" s="336" t="s">
        <v>1196</v>
      </c>
      <c r="L34" s="336">
        <v>42</v>
      </c>
      <c r="M34" s="336"/>
      <c r="N34" s="338"/>
      <c r="O34" s="338"/>
      <c r="P34" s="336"/>
      <c r="Q34" s="336"/>
      <c r="R34" s="339"/>
      <c r="S34" s="339"/>
      <c r="T34" s="339"/>
      <c r="U34" s="953">
        <v>21049242</v>
      </c>
      <c r="V34" s="953">
        <f t="shared" si="4"/>
        <v>231541662</v>
      </c>
      <c r="W34" s="341">
        <v>20000000</v>
      </c>
      <c r="X34" s="341">
        <f t="shared" si="5"/>
        <v>100000000</v>
      </c>
      <c r="Y34" s="340">
        <v>3000000</v>
      </c>
      <c r="Z34" s="340">
        <v>25000000</v>
      </c>
      <c r="AA34" s="341"/>
      <c r="AB34" s="341"/>
      <c r="AC34" s="341"/>
      <c r="AD34" s="341"/>
      <c r="AE34" s="341"/>
      <c r="AF34" s="341" t="s">
        <v>1248</v>
      </c>
      <c r="AG34" s="953">
        <v>500000</v>
      </c>
      <c r="AH34" s="341">
        <f>500000*31</f>
        <v>15500000</v>
      </c>
      <c r="AI34" s="341">
        <v>51500000</v>
      </c>
      <c r="AJ34" s="341">
        <f t="shared" si="2"/>
        <v>76500000</v>
      </c>
      <c r="AK34" s="340">
        <v>15000000</v>
      </c>
      <c r="AL34" s="961"/>
      <c r="AM34" s="341" t="s">
        <v>1208</v>
      </c>
      <c r="AN34" s="341"/>
      <c r="AO34" s="341">
        <v>377220384</v>
      </c>
      <c r="AP34" s="342"/>
      <c r="AQ34" s="343"/>
      <c r="AR34" s="343"/>
      <c r="AS34" s="344"/>
      <c r="AT34" s="336"/>
      <c r="AU34" s="336" t="s">
        <v>1199</v>
      </c>
      <c r="AV34" s="336"/>
    </row>
    <row r="35" spans="1:48" s="214" customFormat="1" ht="15.75" customHeight="1">
      <c r="A35" s="213"/>
      <c r="B35" s="337" t="s">
        <v>3075</v>
      </c>
      <c r="C35" s="346" t="s">
        <v>19</v>
      </c>
      <c r="D35" s="336"/>
      <c r="E35" s="339"/>
      <c r="F35" s="336"/>
      <c r="G35" s="336"/>
      <c r="H35" s="336"/>
      <c r="I35" s="336"/>
      <c r="J35" s="336"/>
      <c r="K35" s="336" t="s">
        <v>1196</v>
      </c>
      <c r="L35" s="336">
        <v>42</v>
      </c>
      <c r="M35" s="336"/>
      <c r="N35" s="338"/>
      <c r="O35" s="338"/>
      <c r="P35" s="336"/>
      <c r="Q35" s="336"/>
      <c r="R35" s="339"/>
      <c r="S35" s="339"/>
      <c r="T35" s="339"/>
      <c r="U35" s="953">
        <v>21049242</v>
      </c>
      <c r="V35" s="953">
        <f>U35*11</f>
        <v>231541662</v>
      </c>
      <c r="W35" s="341">
        <v>20000000</v>
      </c>
      <c r="X35" s="341">
        <f>W35*5</f>
        <v>100000000</v>
      </c>
      <c r="Y35" s="340">
        <v>3000000</v>
      </c>
      <c r="Z35" s="340">
        <v>25000000</v>
      </c>
      <c r="AA35" s="341"/>
      <c r="AB35" s="341"/>
      <c r="AC35" s="341"/>
      <c r="AD35" s="341"/>
      <c r="AE35" s="341"/>
      <c r="AF35" s="341" t="s">
        <v>1249</v>
      </c>
      <c r="AG35" s="954" t="s">
        <v>1218</v>
      </c>
      <c r="AH35" s="341">
        <v>23500000</v>
      </c>
      <c r="AI35" s="341">
        <v>50500000</v>
      </c>
      <c r="AJ35" s="341">
        <f t="shared" si="2"/>
        <v>75500000</v>
      </c>
      <c r="AK35" s="340">
        <v>15000000</v>
      </c>
      <c r="AL35" s="961"/>
      <c r="AM35" s="341" t="s">
        <v>1208</v>
      </c>
      <c r="AN35" s="341"/>
      <c r="AO35" s="341">
        <v>377220384</v>
      </c>
      <c r="AP35" s="342"/>
      <c r="AQ35" s="343"/>
      <c r="AR35" s="343"/>
      <c r="AS35" s="344"/>
      <c r="AT35" s="336"/>
      <c r="AU35" s="336"/>
      <c r="AV35" s="336"/>
    </row>
    <row r="36" spans="1:48" s="214" customFormat="1" ht="15.75" customHeight="1">
      <c r="A36" s="213"/>
      <c r="B36" s="337" t="s">
        <v>62</v>
      </c>
      <c r="C36" s="346" t="s">
        <v>19</v>
      </c>
      <c r="D36" s="336"/>
      <c r="E36" s="339"/>
      <c r="F36" s="336"/>
      <c r="G36" s="336"/>
      <c r="H36" s="336"/>
      <c r="I36" s="336"/>
      <c r="J36" s="336"/>
      <c r="K36" s="336" t="s">
        <v>1196</v>
      </c>
      <c r="L36" s="336">
        <v>42</v>
      </c>
      <c r="M36" s="336"/>
      <c r="N36" s="338"/>
      <c r="O36" s="338"/>
      <c r="P36" s="336"/>
      <c r="Q36" s="336"/>
      <c r="R36" s="339"/>
      <c r="S36" s="339"/>
      <c r="T36" s="339"/>
      <c r="U36" s="953">
        <v>21049242</v>
      </c>
      <c r="V36" s="953">
        <f>U36*11</f>
        <v>231541662</v>
      </c>
      <c r="W36" s="341">
        <v>20000000</v>
      </c>
      <c r="X36" s="341">
        <f>W36*5</f>
        <v>100000000</v>
      </c>
      <c r="Y36" s="340">
        <v>3000000</v>
      </c>
      <c r="Z36" s="340">
        <v>25000000</v>
      </c>
      <c r="AA36" s="341"/>
      <c r="AB36" s="341"/>
      <c r="AC36" s="341"/>
      <c r="AD36" s="341"/>
      <c r="AE36" s="341"/>
      <c r="AF36" s="341" t="s">
        <v>1250</v>
      </c>
      <c r="AG36" s="954">
        <v>500000</v>
      </c>
      <c r="AH36" s="341">
        <f>AG36*22</f>
        <v>11000000</v>
      </c>
      <c r="AI36" s="341">
        <v>52500000</v>
      </c>
      <c r="AJ36" s="341">
        <f t="shared" si="2"/>
        <v>77500000</v>
      </c>
      <c r="AK36" s="340">
        <v>15000000</v>
      </c>
      <c r="AL36" s="961"/>
      <c r="AM36" s="341" t="s">
        <v>1208</v>
      </c>
      <c r="AN36" s="341"/>
      <c r="AO36" s="341">
        <v>377220384</v>
      </c>
      <c r="AP36" s="342"/>
      <c r="AQ36" s="343"/>
      <c r="AR36" s="343"/>
      <c r="AS36" s="344"/>
      <c r="AT36" s="336"/>
      <c r="AU36" s="336"/>
      <c r="AV36" s="336"/>
    </row>
    <row r="37" spans="1:48" s="214" customFormat="1" ht="15.75" customHeight="1">
      <c r="A37" s="213"/>
      <c r="B37" s="337" t="s">
        <v>3072</v>
      </c>
      <c r="C37" s="346" t="s">
        <v>19</v>
      </c>
      <c r="D37" s="336"/>
      <c r="E37" s="339"/>
      <c r="F37" s="336"/>
      <c r="G37" s="336"/>
      <c r="H37" s="336"/>
      <c r="I37" s="336"/>
      <c r="J37" s="336"/>
      <c r="K37" s="336" t="s">
        <v>1196</v>
      </c>
      <c r="L37" s="336">
        <v>42</v>
      </c>
      <c r="M37" s="336"/>
      <c r="N37" s="338"/>
      <c r="O37" s="338"/>
      <c r="P37" s="336"/>
      <c r="Q37" s="336"/>
      <c r="R37" s="339"/>
      <c r="S37" s="339"/>
      <c r="T37" s="339"/>
      <c r="U37" s="953">
        <v>21049242</v>
      </c>
      <c r="V37" s="953">
        <f t="shared" si="4"/>
        <v>231541662</v>
      </c>
      <c r="W37" s="341">
        <v>20000000</v>
      </c>
      <c r="X37" s="341">
        <f t="shared" si="5"/>
        <v>100000000</v>
      </c>
      <c r="Y37" s="340">
        <v>3000000</v>
      </c>
      <c r="Z37" s="340">
        <v>25000000</v>
      </c>
      <c r="AA37" s="341"/>
      <c r="AB37" s="341"/>
      <c r="AC37" s="341"/>
      <c r="AD37" s="341"/>
      <c r="AE37" s="341"/>
      <c r="AF37" s="341" t="s">
        <v>1224</v>
      </c>
      <c r="AG37" s="953">
        <v>500000</v>
      </c>
      <c r="AH37" s="341">
        <f>500000*34</f>
        <v>17000000</v>
      </c>
      <c r="AI37" s="341">
        <v>46000000</v>
      </c>
      <c r="AJ37" s="341">
        <f t="shared" si="2"/>
        <v>71000000</v>
      </c>
      <c r="AK37" s="340">
        <v>15000000</v>
      </c>
      <c r="AL37" s="961"/>
      <c r="AM37" s="341" t="s">
        <v>1208</v>
      </c>
      <c r="AN37" s="341"/>
      <c r="AO37" s="341">
        <v>377220384</v>
      </c>
      <c r="AP37" s="342"/>
      <c r="AQ37" s="343"/>
      <c r="AR37" s="343"/>
      <c r="AS37" s="344"/>
      <c r="AT37" s="336"/>
      <c r="AU37" s="336" t="s">
        <v>166</v>
      </c>
      <c r="AV37" s="336"/>
    </row>
    <row r="38" spans="1:48" s="214" customFormat="1" ht="15.75" customHeight="1">
      <c r="A38" s="213"/>
      <c r="B38" s="337" t="s">
        <v>1251</v>
      </c>
      <c r="C38" s="346" t="s">
        <v>19</v>
      </c>
      <c r="D38" s="336"/>
      <c r="E38" s="339"/>
      <c r="F38" s="336"/>
      <c r="G38" s="336"/>
      <c r="H38" s="336"/>
      <c r="I38" s="336"/>
      <c r="J38" s="336"/>
      <c r="K38" s="336" t="s">
        <v>1196</v>
      </c>
      <c r="L38" s="336">
        <v>42</v>
      </c>
      <c r="M38" s="336"/>
      <c r="N38" s="338"/>
      <c r="O38" s="338"/>
      <c r="P38" s="336"/>
      <c r="Q38" s="336"/>
      <c r="R38" s="339"/>
      <c r="S38" s="339"/>
      <c r="T38" s="339"/>
      <c r="U38" s="953">
        <v>21049242</v>
      </c>
      <c r="V38" s="953">
        <f t="shared" si="4"/>
        <v>231541662</v>
      </c>
      <c r="W38" s="341">
        <v>20000000</v>
      </c>
      <c r="X38" s="341">
        <f t="shared" si="5"/>
        <v>100000000</v>
      </c>
      <c r="Y38" s="340">
        <v>3000000</v>
      </c>
      <c r="Z38" s="340">
        <v>25000000</v>
      </c>
      <c r="AA38" s="341"/>
      <c r="AB38" s="341"/>
      <c r="AC38" s="341"/>
      <c r="AD38" s="341"/>
      <c r="AE38" s="341"/>
      <c r="AF38" s="341" t="s">
        <v>1204</v>
      </c>
      <c r="AG38" s="953">
        <v>500000</v>
      </c>
      <c r="AH38" s="341">
        <f>AG38*15</f>
        <v>7500000</v>
      </c>
      <c r="AI38" s="341">
        <v>57500000</v>
      </c>
      <c r="AJ38" s="341">
        <f t="shared" si="2"/>
        <v>82500000</v>
      </c>
      <c r="AK38" s="340">
        <v>15000000</v>
      </c>
      <c r="AL38" s="961"/>
      <c r="AM38" s="341" t="s">
        <v>1208</v>
      </c>
      <c r="AN38" s="341"/>
      <c r="AO38" s="341">
        <v>377220384</v>
      </c>
      <c r="AP38" s="342"/>
      <c r="AQ38" s="343"/>
      <c r="AR38" s="343"/>
      <c r="AS38" s="344"/>
      <c r="AT38" s="336"/>
      <c r="AU38" s="336"/>
      <c r="AV38" s="336"/>
    </row>
    <row r="39" spans="1:48" s="214" customFormat="1" ht="15.75" customHeight="1">
      <c r="A39" s="213"/>
      <c r="B39" s="337" t="s">
        <v>58</v>
      </c>
      <c r="C39" s="346" t="s">
        <v>19</v>
      </c>
      <c r="D39" s="336"/>
      <c r="E39" s="339"/>
      <c r="F39" s="336"/>
      <c r="G39" s="336"/>
      <c r="H39" s="336"/>
      <c r="I39" s="336"/>
      <c r="J39" s="336"/>
      <c r="K39" s="336" t="s">
        <v>1196</v>
      </c>
      <c r="L39" s="336">
        <v>42</v>
      </c>
      <c r="M39" s="336"/>
      <c r="N39" s="338"/>
      <c r="O39" s="338"/>
      <c r="P39" s="336"/>
      <c r="Q39" s="336"/>
      <c r="R39" s="339"/>
      <c r="S39" s="339"/>
      <c r="T39" s="339"/>
      <c r="U39" s="953">
        <v>21049242</v>
      </c>
      <c r="V39" s="953">
        <f t="shared" si="4"/>
        <v>231541662</v>
      </c>
      <c r="W39" s="341">
        <v>20000000</v>
      </c>
      <c r="X39" s="341">
        <f t="shared" si="5"/>
        <v>100000000</v>
      </c>
      <c r="Y39" s="340">
        <v>3000000</v>
      </c>
      <c r="Z39" s="340">
        <v>25000000</v>
      </c>
      <c r="AA39" s="341"/>
      <c r="AB39" s="341"/>
      <c r="AC39" s="341"/>
      <c r="AD39" s="341"/>
      <c r="AE39" s="341"/>
      <c r="AF39" s="341" t="s">
        <v>1135</v>
      </c>
      <c r="AG39" s="953">
        <v>500000</v>
      </c>
      <c r="AH39" s="341">
        <f>AG39*30</f>
        <v>15000000</v>
      </c>
      <c r="AI39" s="341">
        <v>56500000</v>
      </c>
      <c r="AJ39" s="341">
        <f t="shared" si="2"/>
        <v>81500000</v>
      </c>
      <c r="AK39" s="340">
        <v>15000000</v>
      </c>
      <c r="AL39" s="961"/>
      <c r="AM39" s="341" t="s">
        <v>1208</v>
      </c>
      <c r="AN39" s="341"/>
      <c r="AO39" s="341">
        <v>377220384</v>
      </c>
      <c r="AP39" s="342"/>
      <c r="AQ39" s="343"/>
      <c r="AR39" s="343"/>
      <c r="AS39" s="344"/>
      <c r="AT39" s="336"/>
      <c r="AU39" s="336"/>
      <c r="AV39" s="336"/>
    </row>
    <row r="40" spans="1:48" s="214" customFormat="1" ht="15.75" customHeight="1">
      <c r="A40" s="213"/>
      <c r="B40" s="337" t="s">
        <v>1252</v>
      </c>
      <c r="C40" s="346" t="s">
        <v>19</v>
      </c>
      <c r="D40" s="336"/>
      <c r="E40" s="339"/>
      <c r="F40" s="336"/>
      <c r="G40" s="336"/>
      <c r="H40" s="336"/>
      <c r="I40" s="336"/>
      <c r="J40" s="336"/>
      <c r="K40" s="336" t="s">
        <v>1196</v>
      </c>
      <c r="L40" s="336">
        <v>42</v>
      </c>
      <c r="M40" s="336"/>
      <c r="N40" s="338"/>
      <c r="O40" s="338"/>
      <c r="P40" s="336"/>
      <c r="Q40" s="336"/>
      <c r="R40" s="339"/>
      <c r="S40" s="339"/>
      <c r="T40" s="339"/>
      <c r="U40" s="953">
        <v>21049242</v>
      </c>
      <c r="V40" s="953">
        <f t="shared" si="4"/>
        <v>231541662</v>
      </c>
      <c r="W40" s="341">
        <v>20000000</v>
      </c>
      <c r="X40" s="341">
        <f t="shared" si="5"/>
        <v>100000000</v>
      </c>
      <c r="Y40" s="340">
        <v>3000000</v>
      </c>
      <c r="Z40" s="340">
        <v>25000000</v>
      </c>
      <c r="AA40" s="341"/>
      <c r="AB40" s="341"/>
      <c r="AC40" s="341"/>
      <c r="AD40" s="341"/>
      <c r="AE40" s="341"/>
      <c r="AF40" s="341" t="s">
        <v>1253</v>
      </c>
      <c r="AG40" s="953">
        <v>500000</v>
      </c>
      <c r="AH40" s="341">
        <f>AG40*48</f>
        <v>24000000</v>
      </c>
      <c r="AI40" s="341">
        <v>49500000</v>
      </c>
      <c r="AJ40" s="341">
        <f t="shared" si="2"/>
        <v>74500000</v>
      </c>
      <c r="AK40" s="340">
        <v>15000000</v>
      </c>
      <c r="AL40" s="961"/>
      <c r="AM40" s="341" t="s">
        <v>1208</v>
      </c>
      <c r="AN40" s="341"/>
      <c r="AO40" s="341">
        <v>377220384</v>
      </c>
      <c r="AP40" s="342"/>
      <c r="AQ40" s="343"/>
      <c r="AR40" s="343"/>
      <c r="AS40" s="344"/>
      <c r="AT40" s="336"/>
      <c r="AU40" s="336"/>
      <c r="AV40" s="336"/>
    </row>
    <row r="41" spans="1:48" s="214" customFormat="1" ht="15.75" customHeight="1">
      <c r="A41" s="213"/>
      <c r="B41" s="337" t="s">
        <v>1254</v>
      </c>
      <c r="C41" s="346" t="s">
        <v>19</v>
      </c>
      <c r="D41" s="336"/>
      <c r="E41" s="339"/>
      <c r="F41" s="336"/>
      <c r="G41" s="336"/>
      <c r="H41" s="336"/>
      <c r="I41" s="336"/>
      <c r="J41" s="336"/>
      <c r="K41" s="336" t="s">
        <v>1196</v>
      </c>
      <c r="L41" s="336">
        <v>52</v>
      </c>
      <c r="M41" s="336"/>
      <c r="N41" s="338"/>
      <c r="O41" s="338"/>
      <c r="P41" s="336"/>
      <c r="Q41" s="336"/>
      <c r="R41" s="339"/>
      <c r="S41" s="339"/>
      <c r="T41" s="339"/>
      <c r="U41" s="953">
        <v>21049242</v>
      </c>
      <c r="V41" s="953">
        <f>U41*11</f>
        <v>231541662</v>
      </c>
      <c r="W41" s="341">
        <v>20000000</v>
      </c>
      <c r="X41" s="341">
        <f t="shared" si="5"/>
        <v>100000000</v>
      </c>
      <c r="Y41" s="340">
        <v>3000000</v>
      </c>
      <c r="Z41" s="340">
        <v>25000000</v>
      </c>
      <c r="AA41" s="341"/>
      <c r="AB41" s="341"/>
      <c r="AC41" s="341"/>
      <c r="AD41" s="341"/>
      <c r="AE41" s="341"/>
      <c r="AF41" s="341" t="s">
        <v>1255</v>
      </c>
      <c r="AG41" s="953">
        <v>500000</v>
      </c>
      <c r="AH41" s="341">
        <f>AG41*70</f>
        <v>35000000</v>
      </c>
      <c r="AI41" s="341">
        <v>39000000</v>
      </c>
      <c r="AJ41" s="341">
        <f t="shared" si="2"/>
        <v>64000000</v>
      </c>
      <c r="AK41" s="340">
        <v>15000000</v>
      </c>
      <c r="AL41" s="961"/>
      <c r="AM41" s="341" t="s">
        <v>1205</v>
      </c>
      <c r="AN41" s="341"/>
      <c r="AO41" s="341">
        <v>423293218</v>
      </c>
      <c r="AP41" s="342"/>
      <c r="AQ41" s="343"/>
      <c r="AR41" s="343"/>
      <c r="AS41" s="344"/>
      <c r="AT41" s="336"/>
      <c r="AU41" s="336"/>
      <c r="AV41" s="336"/>
    </row>
    <row r="42" spans="1:48" s="214" customFormat="1">
      <c r="A42" s="213"/>
      <c r="B42" s="335" t="s">
        <v>1256</v>
      </c>
      <c r="C42" s="336" t="s">
        <v>1257</v>
      </c>
      <c r="D42" s="336"/>
      <c r="E42" s="336"/>
      <c r="F42" s="336"/>
      <c r="G42" s="336"/>
      <c r="H42" s="337"/>
      <c r="I42" s="336"/>
      <c r="J42" s="336"/>
      <c r="K42" s="336" t="s">
        <v>1196</v>
      </c>
      <c r="L42" s="336">
        <v>36</v>
      </c>
      <c r="M42" s="336"/>
      <c r="N42" s="338"/>
      <c r="O42" s="338"/>
      <c r="P42" s="336"/>
      <c r="Q42" s="336"/>
      <c r="R42" s="339"/>
      <c r="S42" s="339"/>
      <c r="T42" s="339"/>
      <c r="U42" s="953">
        <v>18750000</v>
      </c>
      <c r="V42" s="953">
        <f t="shared" ref="V42:V105" si="6">U42*11</f>
        <v>206250000</v>
      </c>
      <c r="W42" s="341">
        <v>16000000</v>
      </c>
      <c r="X42" s="341">
        <f t="shared" ref="X42:X67" si="7">W42*20</f>
        <v>320000000</v>
      </c>
      <c r="Y42" s="340">
        <v>3000000</v>
      </c>
      <c r="Z42" s="340">
        <v>25000000</v>
      </c>
      <c r="AA42" s="341"/>
      <c r="AB42" s="341"/>
      <c r="AC42" s="341"/>
      <c r="AD42" s="341"/>
      <c r="AE42" s="341"/>
      <c r="AF42" s="341" t="s">
        <v>1217</v>
      </c>
      <c r="AG42" s="953">
        <v>1000000</v>
      </c>
      <c r="AH42" s="341">
        <f>AG42*22</f>
        <v>22000000</v>
      </c>
      <c r="AI42" s="341">
        <v>45000000</v>
      </c>
      <c r="AJ42" s="341">
        <f t="shared" si="2"/>
        <v>70000000</v>
      </c>
      <c r="AK42" s="340">
        <v>15000000</v>
      </c>
      <c r="AL42" s="961"/>
      <c r="AM42" s="341" t="s">
        <v>1258</v>
      </c>
      <c r="AN42" s="341"/>
      <c r="AO42" s="341">
        <v>433505181.050313</v>
      </c>
      <c r="AP42" s="342">
        <v>90466667</v>
      </c>
      <c r="AQ42" s="343">
        <f t="shared" ref="AQ42:AQ49" si="8">AN42+AK42+AJ42+AH42+AA42+Z42+Y42+X42</f>
        <v>455000000</v>
      </c>
      <c r="AR42" s="343">
        <f t="shared" ref="AR42:AR49" si="9">AQ42+AO42</f>
        <v>888505181.050313</v>
      </c>
      <c r="AS42" s="344"/>
      <c r="AT42" s="336"/>
      <c r="AU42" s="336" t="s">
        <v>1199</v>
      </c>
      <c r="AV42" s="336"/>
    </row>
    <row r="43" spans="1:48" s="214" customFormat="1">
      <c r="A43" s="213"/>
      <c r="B43" s="335" t="s">
        <v>1259</v>
      </c>
      <c r="C43" s="336" t="s">
        <v>497</v>
      </c>
      <c r="D43" s="336"/>
      <c r="E43" s="336"/>
      <c r="F43" s="336"/>
      <c r="G43" s="336"/>
      <c r="H43" s="337"/>
      <c r="I43" s="336"/>
      <c r="J43" s="336"/>
      <c r="K43" s="336" t="s">
        <v>1196</v>
      </c>
      <c r="L43" s="336">
        <v>42</v>
      </c>
      <c r="M43" s="336"/>
      <c r="N43" s="338"/>
      <c r="O43" s="338"/>
      <c r="P43" s="336"/>
      <c r="Q43" s="336"/>
      <c r="R43" s="339"/>
      <c r="S43" s="339"/>
      <c r="T43" s="339"/>
      <c r="U43" s="953">
        <v>27272727</v>
      </c>
      <c r="V43" s="953">
        <f t="shared" si="6"/>
        <v>299999997</v>
      </c>
      <c r="W43" s="341">
        <v>15000000</v>
      </c>
      <c r="X43" s="341">
        <f t="shared" si="7"/>
        <v>300000000</v>
      </c>
      <c r="Y43" s="340">
        <v>3000000</v>
      </c>
      <c r="Z43" s="340">
        <v>25000000</v>
      </c>
      <c r="AA43" s="341"/>
      <c r="AB43" s="341"/>
      <c r="AC43" s="341"/>
      <c r="AD43" s="341"/>
      <c r="AE43" s="341"/>
      <c r="AF43" s="341" t="s">
        <v>1240</v>
      </c>
      <c r="AG43" s="953">
        <v>500000</v>
      </c>
      <c r="AH43" s="341">
        <f>AG43*18</f>
        <v>9000000</v>
      </c>
      <c r="AI43" s="341">
        <v>28000000</v>
      </c>
      <c r="AJ43" s="341">
        <f t="shared" si="2"/>
        <v>53000000</v>
      </c>
      <c r="AK43" s="340">
        <v>15000000</v>
      </c>
      <c r="AL43" s="961"/>
      <c r="AM43" s="341" t="s">
        <v>1258</v>
      </c>
      <c r="AN43" s="341"/>
      <c r="AO43" s="341">
        <v>433505181.050313</v>
      </c>
      <c r="AP43" s="342">
        <v>90466667</v>
      </c>
      <c r="AQ43" s="343">
        <f t="shared" si="8"/>
        <v>405000000</v>
      </c>
      <c r="AR43" s="343">
        <f t="shared" si="9"/>
        <v>838505181.050313</v>
      </c>
      <c r="AS43" s="344"/>
      <c r="AT43" s="336"/>
      <c r="AU43" s="336" t="s">
        <v>1199</v>
      </c>
      <c r="AV43" s="336"/>
    </row>
    <row r="44" spans="1:48" s="214" customFormat="1">
      <c r="A44" s="213"/>
      <c r="B44" s="335" t="s">
        <v>1260</v>
      </c>
      <c r="C44" s="336" t="s">
        <v>497</v>
      </c>
      <c r="D44" s="336"/>
      <c r="E44" s="336"/>
      <c r="F44" s="336"/>
      <c r="G44" s="336"/>
      <c r="H44" s="337"/>
      <c r="I44" s="336"/>
      <c r="J44" s="336"/>
      <c r="K44" s="336" t="s">
        <v>1196</v>
      </c>
      <c r="L44" s="336">
        <v>32</v>
      </c>
      <c r="M44" s="336"/>
      <c r="N44" s="338"/>
      <c r="O44" s="338"/>
      <c r="P44" s="336"/>
      <c r="Q44" s="336"/>
      <c r="R44" s="339"/>
      <c r="S44" s="339"/>
      <c r="T44" s="339"/>
      <c r="U44" s="953">
        <v>27272727</v>
      </c>
      <c r="V44" s="953">
        <f t="shared" si="6"/>
        <v>299999997</v>
      </c>
      <c r="W44" s="341">
        <v>18000000</v>
      </c>
      <c r="X44" s="341">
        <f t="shared" si="7"/>
        <v>360000000</v>
      </c>
      <c r="Y44" s="340">
        <v>3000000</v>
      </c>
      <c r="Z44" s="340">
        <v>25000000</v>
      </c>
      <c r="AA44" s="341"/>
      <c r="AB44" s="341"/>
      <c r="AC44" s="341"/>
      <c r="AD44" s="341"/>
      <c r="AE44" s="341"/>
      <c r="AF44" s="341" t="s">
        <v>1261</v>
      </c>
      <c r="AG44" s="953"/>
      <c r="AH44" s="341">
        <v>16700000</v>
      </c>
      <c r="AI44" s="341">
        <v>41500000</v>
      </c>
      <c r="AJ44" s="341">
        <f t="shared" si="2"/>
        <v>66500000</v>
      </c>
      <c r="AK44" s="340">
        <v>15000000</v>
      </c>
      <c r="AL44" s="961"/>
      <c r="AM44" s="341" t="s">
        <v>1262</v>
      </c>
      <c r="AN44" s="341"/>
      <c r="AO44" s="341">
        <v>433505181.050313</v>
      </c>
      <c r="AP44" s="342">
        <v>90466667</v>
      </c>
      <c r="AQ44" s="343">
        <f t="shared" si="8"/>
        <v>486200000</v>
      </c>
      <c r="AR44" s="343">
        <f t="shared" si="9"/>
        <v>919705181.050313</v>
      </c>
      <c r="AS44" s="344"/>
      <c r="AT44" s="336"/>
      <c r="AU44" s="336" t="s">
        <v>1199</v>
      </c>
      <c r="AV44" s="336"/>
    </row>
    <row r="45" spans="1:48" s="214" customFormat="1">
      <c r="A45" s="213"/>
      <c r="B45" s="335" t="s">
        <v>1263</v>
      </c>
      <c r="C45" s="336" t="s">
        <v>1257</v>
      </c>
      <c r="D45" s="336"/>
      <c r="E45" s="336"/>
      <c r="F45" s="336"/>
      <c r="G45" s="336"/>
      <c r="H45" s="337"/>
      <c r="I45" s="336"/>
      <c r="J45" s="336"/>
      <c r="K45" s="336" t="s">
        <v>1196</v>
      </c>
      <c r="L45" s="336">
        <v>42</v>
      </c>
      <c r="M45" s="336"/>
      <c r="N45" s="338"/>
      <c r="O45" s="338"/>
      <c r="P45" s="336"/>
      <c r="Q45" s="336"/>
      <c r="R45" s="339"/>
      <c r="S45" s="339"/>
      <c r="T45" s="339"/>
      <c r="U45" s="953">
        <v>18750000</v>
      </c>
      <c r="V45" s="953">
        <f t="shared" si="6"/>
        <v>206250000</v>
      </c>
      <c r="W45" s="341">
        <v>19000000</v>
      </c>
      <c r="X45" s="341">
        <f t="shared" si="7"/>
        <v>380000000</v>
      </c>
      <c r="Y45" s="340">
        <v>3000000</v>
      </c>
      <c r="Z45" s="340">
        <v>25000000</v>
      </c>
      <c r="AA45" s="341"/>
      <c r="AB45" s="341"/>
      <c r="AC45" s="341"/>
      <c r="AD45" s="341"/>
      <c r="AE45" s="341"/>
      <c r="AF45" s="341" t="s">
        <v>1264</v>
      </c>
      <c r="AG45" s="953">
        <v>500000</v>
      </c>
      <c r="AH45" s="341">
        <f>(AG45*29)+10000000</f>
        <v>24500000</v>
      </c>
      <c r="AI45" s="341">
        <v>47000000</v>
      </c>
      <c r="AJ45" s="341">
        <f t="shared" si="2"/>
        <v>72000000</v>
      </c>
      <c r="AK45" s="340">
        <v>15000000</v>
      </c>
      <c r="AL45" s="961"/>
      <c r="AM45" s="341" t="s">
        <v>1265</v>
      </c>
      <c r="AN45" s="341">
        <v>256500000</v>
      </c>
      <c r="AO45" s="341">
        <v>433505181.050313</v>
      </c>
      <c r="AP45" s="342">
        <v>90466667</v>
      </c>
      <c r="AQ45" s="343">
        <f t="shared" si="8"/>
        <v>776000000</v>
      </c>
      <c r="AR45" s="343">
        <f t="shared" si="9"/>
        <v>1209505181.050313</v>
      </c>
      <c r="AS45" s="344"/>
      <c r="AT45" s="336"/>
      <c r="AU45" s="336" t="s">
        <v>1199</v>
      </c>
      <c r="AV45" s="336"/>
    </row>
    <row r="46" spans="1:48" s="214" customFormat="1">
      <c r="A46" s="213"/>
      <c r="B46" s="335" t="s">
        <v>1266</v>
      </c>
      <c r="C46" s="336" t="s">
        <v>1257</v>
      </c>
      <c r="D46" s="336"/>
      <c r="E46" s="336"/>
      <c r="F46" s="336"/>
      <c r="G46" s="336"/>
      <c r="H46" s="337"/>
      <c r="I46" s="336"/>
      <c r="J46" s="336"/>
      <c r="K46" s="336" t="s">
        <v>1196</v>
      </c>
      <c r="L46" s="336">
        <v>42</v>
      </c>
      <c r="M46" s="336"/>
      <c r="N46" s="338"/>
      <c r="O46" s="338"/>
      <c r="P46" s="336"/>
      <c r="Q46" s="336"/>
      <c r="R46" s="339"/>
      <c r="S46" s="339"/>
      <c r="T46" s="339"/>
      <c r="U46" s="953">
        <v>18750000</v>
      </c>
      <c r="V46" s="953">
        <f t="shared" si="6"/>
        <v>206250000</v>
      </c>
      <c r="W46" s="341">
        <v>20000000</v>
      </c>
      <c r="X46" s="341">
        <f t="shared" si="7"/>
        <v>400000000</v>
      </c>
      <c r="Y46" s="340">
        <v>3000000</v>
      </c>
      <c r="Z46" s="340">
        <v>25000000</v>
      </c>
      <c r="AA46" s="341"/>
      <c r="AB46" s="341"/>
      <c r="AC46" s="341"/>
      <c r="AD46" s="341"/>
      <c r="AE46" s="341"/>
      <c r="AF46" s="341" t="s">
        <v>1247</v>
      </c>
      <c r="AG46" s="953">
        <v>500000</v>
      </c>
      <c r="AH46" s="341">
        <f>AG46*5</f>
        <v>2500000</v>
      </c>
      <c r="AI46" s="341">
        <v>38500000</v>
      </c>
      <c r="AJ46" s="341">
        <f t="shared" si="2"/>
        <v>63500000</v>
      </c>
      <c r="AK46" s="340">
        <v>15000000</v>
      </c>
      <c r="AL46" s="961"/>
      <c r="AM46" s="341" t="s">
        <v>1267</v>
      </c>
      <c r="AN46" s="341">
        <v>256500000</v>
      </c>
      <c r="AO46" s="341">
        <v>433505181.050313</v>
      </c>
      <c r="AP46" s="342">
        <v>90466667</v>
      </c>
      <c r="AQ46" s="343">
        <f t="shared" si="8"/>
        <v>765500000</v>
      </c>
      <c r="AR46" s="343">
        <f t="shared" si="9"/>
        <v>1199005181.050313</v>
      </c>
      <c r="AS46" s="344"/>
      <c r="AT46" s="336"/>
      <c r="AU46" s="336" t="s">
        <v>1199</v>
      </c>
      <c r="AV46" s="336"/>
    </row>
    <row r="47" spans="1:48" s="214" customFormat="1">
      <c r="A47" s="213"/>
      <c r="B47" s="335" t="s">
        <v>1268</v>
      </c>
      <c r="C47" s="336" t="s">
        <v>1257</v>
      </c>
      <c r="D47" s="336"/>
      <c r="E47" s="336"/>
      <c r="F47" s="336"/>
      <c r="G47" s="336"/>
      <c r="H47" s="337"/>
      <c r="I47" s="336"/>
      <c r="J47" s="336"/>
      <c r="K47" s="336" t="s">
        <v>1196</v>
      </c>
      <c r="L47" s="336">
        <v>42</v>
      </c>
      <c r="M47" s="336"/>
      <c r="N47" s="338"/>
      <c r="O47" s="338"/>
      <c r="P47" s="336"/>
      <c r="Q47" s="336"/>
      <c r="R47" s="339"/>
      <c r="S47" s="339"/>
      <c r="T47" s="339"/>
      <c r="U47" s="953">
        <v>18750000</v>
      </c>
      <c r="V47" s="953">
        <f t="shared" si="6"/>
        <v>206250000</v>
      </c>
      <c r="W47" s="341">
        <v>20000000</v>
      </c>
      <c r="X47" s="341">
        <f>W47*20</f>
        <v>400000000</v>
      </c>
      <c r="Y47" s="340">
        <v>3000000</v>
      </c>
      <c r="Z47" s="340">
        <v>25000000</v>
      </c>
      <c r="AA47" s="341"/>
      <c r="AB47" s="341"/>
      <c r="AC47" s="341"/>
      <c r="AD47" s="341"/>
      <c r="AE47" s="341"/>
      <c r="AF47" s="341" t="s">
        <v>1246</v>
      </c>
      <c r="AG47" s="953"/>
      <c r="AH47" s="341">
        <v>8500000</v>
      </c>
      <c r="AI47" s="341">
        <v>38000000</v>
      </c>
      <c r="AJ47" s="341">
        <f t="shared" si="2"/>
        <v>63000000</v>
      </c>
      <c r="AK47" s="340">
        <v>15000000</v>
      </c>
      <c r="AL47" s="961"/>
      <c r="AM47" s="341" t="s">
        <v>1269</v>
      </c>
      <c r="AN47" s="341">
        <v>256500000</v>
      </c>
      <c r="AO47" s="341">
        <v>353505181</v>
      </c>
      <c r="AP47" s="342">
        <v>90466667</v>
      </c>
      <c r="AQ47" s="343">
        <f t="shared" si="8"/>
        <v>771000000</v>
      </c>
      <c r="AR47" s="343">
        <f t="shared" si="9"/>
        <v>1124505181</v>
      </c>
      <c r="AS47" s="344"/>
      <c r="AT47" s="336"/>
      <c r="AU47" s="336" t="s">
        <v>1199</v>
      </c>
      <c r="AV47" s="336"/>
    </row>
    <row r="48" spans="1:48" s="214" customFormat="1">
      <c r="A48" s="213"/>
      <c r="B48" s="347" t="s">
        <v>1270</v>
      </c>
      <c r="C48" s="336" t="s">
        <v>1257</v>
      </c>
      <c r="D48" s="336"/>
      <c r="E48" s="336"/>
      <c r="F48" s="336"/>
      <c r="G48" s="336"/>
      <c r="H48" s="337"/>
      <c r="I48" s="336"/>
      <c r="J48" s="336"/>
      <c r="K48" s="336" t="s">
        <v>1196</v>
      </c>
      <c r="L48" s="336">
        <v>42</v>
      </c>
      <c r="M48" s="336"/>
      <c r="N48" s="338"/>
      <c r="O48" s="338"/>
      <c r="P48" s="336"/>
      <c r="Q48" s="336"/>
      <c r="R48" s="339"/>
      <c r="S48" s="339"/>
      <c r="T48" s="339"/>
      <c r="U48" s="953">
        <v>18750000</v>
      </c>
      <c r="V48" s="953">
        <f t="shared" si="6"/>
        <v>206250000</v>
      </c>
      <c r="W48" s="341">
        <v>15000000</v>
      </c>
      <c r="X48" s="341">
        <f t="shared" si="7"/>
        <v>300000000</v>
      </c>
      <c r="Y48" s="340">
        <v>3000000</v>
      </c>
      <c r="Z48" s="340">
        <v>25000000</v>
      </c>
      <c r="AA48" s="341"/>
      <c r="AB48" s="341"/>
      <c r="AC48" s="341"/>
      <c r="AD48" s="341"/>
      <c r="AE48" s="341"/>
      <c r="AF48" s="341" t="s">
        <v>1255</v>
      </c>
      <c r="AG48" s="953"/>
      <c r="AH48" s="341">
        <v>19000000</v>
      </c>
      <c r="AI48" s="341">
        <v>51000000</v>
      </c>
      <c r="AJ48" s="341">
        <f t="shared" si="2"/>
        <v>76000000</v>
      </c>
      <c r="AK48" s="340">
        <v>15000000</v>
      </c>
      <c r="AL48" s="961"/>
      <c r="AM48" s="341" t="s">
        <v>1271</v>
      </c>
      <c r="AN48" s="341">
        <v>256500000</v>
      </c>
      <c r="AO48" s="341">
        <v>353505181</v>
      </c>
      <c r="AP48" s="342">
        <v>90466667</v>
      </c>
      <c r="AQ48" s="343">
        <f t="shared" si="8"/>
        <v>694500000</v>
      </c>
      <c r="AR48" s="343">
        <f t="shared" si="9"/>
        <v>1048005181</v>
      </c>
      <c r="AS48" s="344"/>
      <c r="AT48" s="336"/>
      <c r="AU48" s="336" t="s">
        <v>1199</v>
      </c>
      <c r="AV48" s="336"/>
    </row>
    <row r="49" spans="1:48" s="214" customFormat="1">
      <c r="A49" s="213"/>
      <c r="B49" s="347" t="s">
        <v>1272</v>
      </c>
      <c r="C49" s="336" t="s">
        <v>1257</v>
      </c>
      <c r="D49" s="336"/>
      <c r="E49" s="336"/>
      <c r="F49" s="336"/>
      <c r="G49" s="336"/>
      <c r="H49" s="337"/>
      <c r="I49" s="336"/>
      <c r="J49" s="336"/>
      <c r="K49" s="336" t="s">
        <v>1196</v>
      </c>
      <c r="L49" s="336">
        <v>42</v>
      </c>
      <c r="M49" s="336"/>
      <c r="N49" s="338"/>
      <c r="O49" s="338"/>
      <c r="P49" s="336"/>
      <c r="Q49" s="336"/>
      <c r="R49" s="339"/>
      <c r="S49" s="339"/>
      <c r="T49" s="339"/>
      <c r="U49" s="953">
        <v>18750000</v>
      </c>
      <c r="V49" s="953">
        <f t="shared" si="6"/>
        <v>206250000</v>
      </c>
      <c r="W49" s="341">
        <v>20000000</v>
      </c>
      <c r="X49" s="341">
        <f t="shared" si="7"/>
        <v>400000000</v>
      </c>
      <c r="Y49" s="340">
        <v>3000000</v>
      </c>
      <c r="Z49" s="340">
        <v>25000000</v>
      </c>
      <c r="AA49" s="341"/>
      <c r="AB49" s="341"/>
      <c r="AC49" s="341"/>
      <c r="AD49" s="341"/>
      <c r="AE49" s="341"/>
      <c r="AF49" s="341" t="s">
        <v>1222</v>
      </c>
      <c r="AG49" s="953">
        <v>1000000</v>
      </c>
      <c r="AH49" s="341">
        <f>AG49*23</f>
        <v>23000000</v>
      </c>
      <c r="AI49" s="341">
        <v>48500000</v>
      </c>
      <c r="AJ49" s="341">
        <f t="shared" si="2"/>
        <v>73500000</v>
      </c>
      <c r="AK49" s="340">
        <v>15000000</v>
      </c>
      <c r="AL49" s="961"/>
      <c r="AM49" s="341" t="s">
        <v>1271</v>
      </c>
      <c r="AN49" s="341">
        <v>256500000</v>
      </c>
      <c r="AO49" s="341">
        <v>353505181</v>
      </c>
      <c r="AP49" s="342">
        <v>90466667</v>
      </c>
      <c r="AQ49" s="343">
        <f t="shared" si="8"/>
        <v>796000000</v>
      </c>
      <c r="AR49" s="343">
        <f t="shared" si="9"/>
        <v>1149505181</v>
      </c>
      <c r="AS49" s="344"/>
      <c r="AT49" s="336"/>
      <c r="AU49" s="336" t="s">
        <v>1199</v>
      </c>
      <c r="AV49" s="336"/>
    </row>
    <row r="50" spans="1:48" s="214" customFormat="1">
      <c r="A50" s="213"/>
      <c r="B50" s="347" t="s">
        <v>1273</v>
      </c>
      <c r="C50" s="336" t="s">
        <v>1257</v>
      </c>
      <c r="D50" s="336"/>
      <c r="E50" s="336"/>
      <c r="F50" s="336"/>
      <c r="G50" s="336"/>
      <c r="H50" s="337"/>
      <c r="I50" s="336"/>
      <c r="J50" s="336"/>
      <c r="K50" s="336" t="s">
        <v>1196</v>
      </c>
      <c r="L50" s="336">
        <v>42</v>
      </c>
      <c r="M50" s="336"/>
      <c r="N50" s="338"/>
      <c r="O50" s="338"/>
      <c r="P50" s="336"/>
      <c r="Q50" s="336"/>
      <c r="R50" s="339"/>
      <c r="S50" s="339"/>
      <c r="T50" s="339"/>
      <c r="U50" s="953">
        <v>18750000</v>
      </c>
      <c r="V50" s="953">
        <f t="shared" si="6"/>
        <v>206250000</v>
      </c>
      <c r="W50" s="341">
        <v>25000000</v>
      </c>
      <c r="X50" s="341">
        <f t="shared" si="7"/>
        <v>500000000</v>
      </c>
      <c r="Y50" s="340">
        <v>3000000</v>
      </c>
      <c r="Z50" s="340">
        <v>25000000</v>
      </c>
      <c r="AA50" s="341"/>
      <c r="AB50" s="341"/>
      <c r="AC50" s="341"/>
      <c r="AD50" s="341"/>
      <c r="AE50" s="341"/>
      <c r="AF50" s="341" t="s">
        <v>1274</v>
      </c>
      <c r="AG50" s="953">
        <v>650000</v>
      </c>
      <c r="AH50" s="341">
        <v>20800000</v>
      </c>
      <c r="AI50" s="341">
        <v>48000000</v>
      </c>
      <c r="AJ50" s="341">
        <f t="shared" si="2"/>
        <v>73000000</v>
      </c>
      <c r="AK50" s="340">
        <v>15000000</v>
      </c>
      <c r="AL50" s="961"/>
      <c r="AM50" s="341" t="s">
        <v>1024</v>
      </c>
      <c r="AN50" s="341">
        <v>256500000</v>
      </c>
      <c r="AO50" s="341">
        <v>353505181</v>
      </c>
      <c r="AP50" s="342"/>
      <c r="AQ50" s="343"/>
      <c r="AR50" s="343"/>
      <c r="AS50" s="344"/>
      <c r="AT50" s="336"/>
      <c r="AU50" s="336" t="s">
        <v>1199</v>
      </c>
      <c r="AV50" s="336"/>
    </row>
    <row r="51" spans="1:48" s="214" customFormat="1">
      <c r="A51" s="213"/>
      <c r="B51" s="347" t="s">
        <v>1275</v>
      </c>
      <c r="C51" s="336" t="s">
        <v>1257</v>
      </c>
      <c r="D51" s="336"/>
      <c r="E51" s="336"/>
      <c r="F51" s="336"/>
      <c r="G51" s="336"/>
      <c r="H51" s="337"/>
      <c r="I51" s="336"/>
      <c r="J51" s="336"/>
      <c r="K51" s="336" t="s">
        <v>1196</v>
      </c>
      <c r="L51" s="336">
        <v>32</v>
      </c>
      <c r="M51" s="336"/>
      <c r="N51" s="338"/>
      <c r="O51" s="338"/>
      <c r="P51" s="336"/>
      <c r="Q51" s="336"/>
      <c r="R51" s="339"/>
      <c r="S51" s="339"/>
      <c r="T51" s="339"/>
      <c r="U51" s="953">
        <v>18750000</v>
      </c>
      <c r="V51" s="953">
        <f t="shared" si="6"/>
        <v>206250000</v>
      </c>
      <c r="W51" s="341">
        <v>18000000</v>
      </c>
      <c r="X51" s="341">
        <f t="shared" si="7"/>
        <v>360000000</v>
      </c>
      <c r="Y51" s="340">
        <v>3000000</v>
      </c>
      <c r="Z51" s="340">
        <v>25000000</v>
      </c>
      <c r="AA51" s="341"/>
      <c r="AB51" s="341"/>
      <c r="AC51" s="341"/>
      <c r="AD51" s="341"/>
      <c r="AE51" s="341"/>
      <c r="AF51" s="341" t="s">
        <v>1276</v>
      </c>
      <c r="AG51" s="953">
        <v>500000</v>
      </c>
      <c r="AH51" s="341">
        <f>AG51*20</f>
        <v>10000000</v>
      </c>
      <c r="AI51" s="341">
        <v>62000000</v>
      </c>
      <c r="AJ51" s="341">
        <f t="shared" si="2"/>
        <v>87000000</v>
      </c>
      <c r="AK51" s="340">
        <v>15000000</v>
      </c>
      <c r="AL51" s="961"/>
      <c r="AM51" s="341" t="s">
        <v>1271</v>
      </c>
      <c r="AN51" s="341">
        <v>256500000</v>
      </c>
      <c r="AO51" s="341">
        <v>353505181</v>
      </c>
      <c r="AP51" s="342">
        <v>90466667</v>
      </c>
      <c r="AQ51" s="343">
        <f>AN51+AK51+AJ51+AH51+AA51+Z51+Y51+X51</f>
        <v>756500000</v>
      </c>
      <c r="AR51" s="343">
        <f>AQ51+AO51</f>
        <v>1110005181</v>
      </c>
      <c r="AS51" s="344"/>
      <c r="AT51" s="336"/>
      <c r="AU51" s="336" t="s">
        <v>1199</v>
      </c>
      <c r="AV51" s="336"/>
    </row>
    <row r="52" spans="1:48" s="214" customFormat="1">
      <c r="A52" s="213"/>
      <c r="B52" s="347" t="s">
        <v>1277</v>
      </c>
      <c r="C52" s="336" t="s">
        <v>1257</v>
      </c>
      <c r="D52" s="336"/>
      <c r="E52" s="336"/>
      <c r="F52" s="336"/>
      <c r="G52" s="336"/>
      <c r="H52" s="337"/>
      <c r="I52" s="336"/>
      <c r="J52" s="336"/>
      <c r="K52" s="336" t="s">
        <v>1196</v>
      </c>
      <c r="L52" s="336">
        <v>42</v>
      </c>
      <c r="M52" s="336"/>
      <c r="N52" s="338"/>
      <c r="O52" s="338"/>
      <c r="P52" s="336"/>
      <c r="Q52" s="336"/>
      <c r="R52" s="339"/>
      <c r="S52" s="339"/>
      <c r="T52" s="339"/>
      <c r="U52" s="953">
        <v>18750000</v>
      </c>
      <c r="V52" s="953">
        <f t="shared" si="6"/>
        <v>206250000</v>
      </c>
      <c r="W52" s="341">
        <v>17000000</v>
      </c>
      <c r="X52" s="341">
        <f t="shared" si="7"/>
        <v>340000000</v>
      </c>
      <c r="Y52" s="340">
        <v>3000000</v>
      </c>
      <c r="Z52" s="340">
        <v>25000000</v>
      </c>
      <c r="AA52" s="341"/>
      <c r="AB52" s="341"/>
      <c r="AC52" s="341"/>
      <c r="AD52" s="341"/>
      <c r="AE52" s="341"/>
      <c r="AF52" s="341" t="s">
        <v>1278</v>
      </c>
      <c r="AG52" s="953">
        <v>500000</v>
      </c>
      <c r="AH52" s="341">
        <f>AG52*12</f>
        <v>6000000</v>
      </c>
      <c r="AI52" s="341">
        <v>39000000</v>
      </c>
      <c r="AJ52" s="341">
        <f t="shared" si="2"/>
        <v>64000000</v>
      </c>
      <c r="AK52" s="340">
        <v>15000000</v>
      </c>
      <c r="AL52" s="961"/>
      <c r="AM52" s="341" t="s">
        <v>1024</v>
      </c>
      <c r="AN52" s="341">
        <v>256500000</v>
      </c>
      <c r="AO52" s="341">
        <v>353505181</v>
      </c>
      <c r="AP52" s="342"/>
      <c r="AQ52" s="343"/>
      <c r="AR52" s="343"/>
      <c r="AS52" s="344"/>
      <c r="AT52" s="336"/>
      <c r="AU52" s="336" t="s">
        <v>1199</v>
      </c>
      <c r="AV52" s="336"/>
    </row>
    <row r="53" spans="1:48" s="214" customFormat="1">
      <c r="A53" s="213"/>
      <c r="B53" s="347" t="s">
        <v>1279</v>
      </c>
      <c r="C53" s="336" t="s">
        <v>1257</v>
      </c>
      <c r="D53" s="336"/>
      <c r="E53" s="336"/>
      <c r="F53" s="336"/>
      <c r="G53" s="336"/>
      <c r="H53" s="337"/>
      <c r="I53" s="336"/>
      <c r="J53" s="336"/>
      <c r="K53" s="336" t="s">
        <v>1196</v>
      </c>
      <c r="L53" s="336">
        <v>42</v>
      </c>
      <c r="M53" s="336"/>
      <c r="N53" s="338"/>
      <c r="O53" s="338"/>
      <c r="P53" s="336"/>
      <c r="Q53" s="336"/>
      <c r="R53" s="339"/>
      <c r="S53" s="339"/>
      <c r="T53" s="339"/>
      <c r="U53" s="953">
        <v>18750000</v>
      </c>
      <c r="V53" s="953">
        <f t="shared" si="6"/>
        <v>206250000</v>
      </c>
      <c r="W53" s="341">
        <v>18000000</v>
      </c>
      <c r="X53" s="341">
        <f t="shared" si="7"/>
        <v>360000000</v>
      </c>
      <c r="Y53" s="340">
        <v>3000000</v>
      </c>
      <c r="Z53" s="340">
        <v>25000000</v>
      </c>
      <c r="AA53" s="341"/>
      <c r="AB53" s="341"/>
      <c r="AC53" s="341"/>
      <c r="AD53" s="341"/>
      <c r="AE53" s="341"/>
      <c r="AF53" s="341" t="s">
        <v>1278</v>
      </c>
      <c r="AG53" s="953">
        <v>500000</v>
      </c>
      <c r="AH53" s="341">
        <f>AG53*12</f>
        <v>6000000</v>
      </c>
      <c r="AI53" s="341">
        <v>43000000</v>
      </c>
      <c r="AJ53" s="341">
        <f t="shared" si="2"/>
        <v>68000000</v>
      </c>
      <c r="AK53" s="340">
        <v>15000000</v>
      </c>
      <c r="AL53" s="961"/>
      <c r="AM53" s="341" t="s">
        <v>1024</v>
      </c>
      <c r="AN53" s="341">
        <v>256500000</v>
      </c>
      <c r="AO53" s="341">
        <v>353505181</v>
      </c>
      <c r="AP53" s="342"/>
      <c r="AQ53" s="343"/>
      <c r="AR53" s="343"/>
      <c r="AS53" s="344"/>
      <c r="AT53" s="336"/>
      <c r="AU53" s="336"/>
      <c r="AV53" s="336"/>
    </row>
    <row r="54" spans="1:48" s="214" customFormat="1">
      <c r="A54" s="213"/>
      <c r="B54" s="347" t="s">
        <v>1280</v>
      </c>
      <c r="C54" s="336" t="s">
        <v>1257</v>
      </c>
      <c r="D54" s="336"/>
      <c r="E54" s="336"/>
      <c r="F54" s="336"/>
      <c r="G54" s="336"/>
      <c r="H54" s="337"/>
      <c r="I54" s="336"/>
      <c r="J54" s="336"/>
      <c r="K54" s="336" t="s">
        <v>1196</v>
      </c>
      <c r="L54" s="336">
        <v>42</v>
      </c>
      <c r="M54" s="336"/>
      <c r="N54" s="338"/>
      <c r="O54" s="338"/>
      <c r="P54" s="336"/>
      <c r="Q54" s="336"/>
      <c r="R54" s="339"/>
      <c r="S54" s="339"/>
      <c r="T54" s="339"/>
      <c r="U54" s="953">
        <v>18750000</v>
      </c>
      <c r="V54" s="953">
        <f t="shared" si="6"/>
        <v>206250000</v>
      </c>
      <c r="W54" s="341">
        <v>15000000</v>
      </c>
      <c r="X54" s="341">
        <f t="shared" si="7"/>
        <v>300000000</v>
      </c>
      <c r="Y54" s="340">
        <v>3000000</v>
      </c>
      <c r="Z54" s="340">
        <v>25000000</v>
      </c>
      <c r="AA54" s="341"/>
      <c r="AB54" s="341"/>
      <c r="AC54" s="341"/>
      <c r="AD54" s="341"/>
      <c r="AE54" s="341"/>
      <c r="AF54" s="341" t="s">
        <v>1281</v>
      </c>
      <c r="AG54" s="953">
        <v>500000</v>
      </c>
      <c r="AH54" s="341">
        <f>AG54*17</f>
        <v>8500000</v>
      </c>
      <c r="AI54" s="341">
        <v>42500000</v>
      </c>
      <c r="AJ54" s="341">
        <f t="shared" si="2"/>
        <v>67500000</v>
      </c>
      <c r="AK54" s="340">
        <v>15000000</v>
      </c>
      <c r="AL54" s="961"/>
      <c r="AM54" s="341" t="s">
        <v>1024</v>
      </c>
      <c r="AN54" s="341">
        <v>256500000</v>
      </c>
      <c r="AO54" s="341">
        <v>353505181</v>
      </c>
      <c r="AP54" s="342"/>
      <c r="AQ54" s="343"/>
      <c r="AR54" s="343"/>
      <c r="AS54" s="344"/>
      <c r="AT54" s="336"/>
      <c r="AU54" s="336" t="s">
        <v>1199</v>
      </c>
      <c r="AV54" s="336"/>
    </row>
    <row r="55" spans="1:48" s="214" customFormat="1">
      <c r="A55" s="213"/>
      <c r="B55" s="347" t="s">
        <v>1282</v>
      </c>
      <c r="C55" s="336" t="s">
        <v>1257</v>
      </c>
      <c r="D55" s="336"/>
      <c r="E55" s="336"/>
      <c r="F55" s="336"/>
      <c r="G55" s="336"/>
      <c r="H55" s="337"/>
      <c r="I55" s="336"/>
      <c r="J55" s="336"/>
      <c r="K55" s="336" t="s">
        <v>1196</v>
      </c>
      <c r="L55" s="336">
        <v>42</v>
      </c>
      <c r="M55" s="336"/>
      <c r="N55" s="338"/>
      <c r="O55" s="338"/>
      <c r="P55" s="336"/>
      <c r="Q55" s="336"/>
      <c r="R55" s="339"/>
      <c r="S55" s="339"/>
      <c r="T55" s="339"/>
      <c r="U55" s="953">
        <v>18750000</v>
      </c>
      <c r="V55" s="953">
        <f t="shared" si="6"/>
        <v>206250000</v>
      </c>
      <c r="W55" s="341">
        <v>20000000</v>
      </c>
      <c r="X55" s="341">
        <f t="shared" si="7"/>
        <v>400000000</v>
      </c>
      <c r="Y55" s="340">
        <v>3000000</v>
      </c>
      <c r="Z55" s="340">
        <v>25000000</v>
      </c>
      <c r="AA55" s="341"/>
      <c r="AB55" s="341"/>
      <c r="AC55" s="341"/>
      <c r="AD55" s="341"/>
      <c r="AE55" s="341"/>
      <c r="AF55" s="341" t="s">
        <v>1283</v>
      </c>
      <c r="AG55" s="954" t="s">
        <v>1218</v>
      </c>
      <c r="AH55" s="341">
        <v>16000000</v>
      </c>
      <c r="AI55" s="341">
        <v>52500000</v>
      </c>
      <c r="AJ55" s="341">
        <f t="shared" si="2"/>
        <v>77500000</v>
      </c>
      <c r="AK55" s="340">
        <v>15000000</v>
      </c>
      <c r="AL55" s="961"/>
      <c r="AM55" s="341" t="s">
        <v>1024</v>
      </c>
      <c r="AN55" s="341">
        <v>256500000</v>
      </c>
      <c r="AO55" s="341">
        <v>353505181</v>
      </c>
      <c r="AP55" s="342"/>
      <c r="AQ55" s="343"/>
      <c r="AR55" s="343"/>
      <c r="AS55" s="344"/>
      <c r="AT55" s="336"/>
      <c r="AU55" s="336" t="s">
        <v>1284</v>
      </c>
      <c r="AV55" s="336"/>
    </row>
    <row r="56" spans="1:48" s="214" customFormat="1">
      <c r="A56" s="213"/>
      <c r="B56" s="347" t="s">
        <v>1285</v>
      </c>
      <c r="C56" s="336" t="s">
        <v>1257</v>
      </c>
      <c r="D56" s="336"/>
      <c r="E56" s="336"/>
      <c r="F56" s="336"/>
      <c r="G56" s="336"/>
      <c r="H56" s="337"/>
      <c r="I56" s="336"/>
      <c r="J56" s="336"/>
      <c r="K56" s="336" t="s">
        <v>1196</v>
      </c>
      <c r="L56" s="336">
        <v>42</v>
      </c>
      <c r="M56" s="336"/>
      <c r="N56" s="338"/>
      <c r="O56" s="338"/>
      <c r="P56" s="336"/>
      <c r="Q56" s="336"/>
      <c r="R56" s="339"/>
      <c r="S56" s="339"/>
      <c r="T56" s="339"/>
      <c r="U56" s="953">
        <v>18750000</v>
      </c>
      <c r="V56" s="953">
        <f t="shared" si="6"/>
        <v>206250000</v>
      </c>
      <c r="W56" s="341">
        <v>20000000</v>
      </c>
      <c r="X56" s="341">
        <f t="shared" si="7"/>
        <v>400000000</v>
      </c>
      <c r="Y56" s="340">
        <v>3000000</v>
      </c>
      <c r="Z56" s="340">
        <v>25000000</v>
      </c>
      <c r="AA56" s="341"/>
      <c r="AB56" s="341"/>
      <c r="AC56" s="341"/>
      <c r="AD56" s="341"/>
      <c r="AE56" s="341"/>
      <c r="AF56" s="341" t="s">
        <v>1286</v>
      </c>
      <c r="AG56" s="953"/>
      <c r="AH56" s="341">
        <v>18000000</v>
      </c>
      <c r="AI56" s="341">
        <f>48500000+5000000</f>
        <v>53500000</v>
      </c>
      <c r="AJ56" s="341">
        <f t="shared" si="2"/>
        <v>78500000</v>
      </c>
      <c r="AK56" s="340">
        <v>15000000</v>
      </c>
      <c r="AL56" s="961"/>
      <c r="AM56" s="341" t="s">
        <v>1024</v>
      </c>
      <c r="AN56" s="341">
        <v>256500000</v>
      </c>
      <c r="AO56" s="341">
        <v>353505181</v>
      </c>
      <c r="AP56" s="342"/>
      <c r="AQ56" s="343"/>
      <c r="AR56" s="343"/>
      <c r="AS56" s="344"/>
      <c r="AT56" s="336"/>
      <c r="AU56" s="336" t="s">
        <v>1199</v>
      </c>
      <c r="AV56" s="336"/>
    </row>
    <row r="57" spans="1:48" s="214" customFormat="1">
      <c r="A57" s="213"/>
      <c r="B57" s="347" t="s">
        <v>1287</v>
      </c>
      <c r="C57" s="336" t="s">
        <v>1257</v>
      </c>
      <c r="D57" s="336"/>
      <c r="E57" s="336"/>
      <c r="F57" s="336"/>
      <c r="G57" s="336"/>
      <c r="H57" s="337"/>
      <c r="I57" s="336"/>
      <c r="J57" s="336"/>
      <c r="K57" s="336" t="s">
        <v>1196</v>
      </c>
      <c r="L57" s="336">
        <v>42</v>
      </c>
      <c r="M57" s="336"/>
      <c r="N57" s="338"/>
      <c r="O57" s="338"/>
      <c r="P57" s="336"/>
      <c r="Q57" s="336"/>
      <c r="R57" s="339"/>
      <c r="S57" s="339"/>
      <c r="T57" s="339"/>
      <c r="U57" s="953">
        <v>18750000</v>
      </c>
      <c r="V57" s="953">
        <f t="shared" si="6"/>
        <v>206250000</v>
      </c>
      <c r="W57" s="341">
        <v>20000000</v>
      </c>
      <c r="X57" s="341">
        <f t="shared" si="7"/>
        <v>400000000</v>
      </c>
      <c r="Y57" s="340">
        <v>3000000</v>
      </c>
      <c r="Z57" s="340">
        <v>25000000</v>
      </c>
      <c r="AA57" s="341"/>
      <c r="AB57" s="341"/>
      <c r="AC57" s="341"/>
      <c r="AD57" s="341"/>
      <c r="AE57" s="341"/>
      <c r="AF57" s="341" t="s">
        <v>1286</v>
      </c>
      <c r="AG57" s="954" t="s">
        <v>1218</v>
      </c>
      <c r="AH57" s="341">
        <v>18000000</v>
      </c>
      <c r="AI57" s="341">
        <v>56500000</v>
      </c>
      <c r="AJ57" s="341">
        <f t="shared" si="2"/>
        <v>81500000</v>
      </c>
      <c r="AK57" s="340">
        <v>15000000</v>
      </c>
      <c r="AL57" s="961"/>
      <c r="AM57" s="341" t="s">
        <v>1024</v>
      </c>
      <c r="AN57" s="341"/>
      <c r="AO57" s="341">
        <v>353505181</v>
      </c>
      <c r="AP57" s="342"/>
      <c r="AQ57" s="343"/>
      <c r="AR57" s="343"/>
      <c r="AS57" s="344"/>
      <c r="AT57" s="336"/>
      <c r="AU57" s="336"/>
      <c r="AV57" s="336"/>
    </row>
    <row r="58" spans="1:48" s="214" customFormat="1">
      <c r="A58" s="213"/>
      <c r="B58" s="347" t="s">
        <v>1288</v>
      </c>
      <c r="C58" s="336" t="s">
        <v>1257</v>
      </c>
      <c r="D58" s="336"/>
      <c r="E58" s="336"/>
      <c r="F58" s="336"/>
      <c r="G58" s="336"/>
      <c r="H58" s="337"/>
      <c r="I58" s="336"/>
      <c r="J58" s="336"/>
      <c r="K58" s="336" t="s">
        <v>1196</v>
      </c>
      <c r="L58" s="336">
        <v>42</v>
      </c>
      <c r="M58" s="336"/>
      <c r="N58" s="338"/>
      <c r="O58" s="338"/>
      <c r="P58" s="336"/>
      <c r="Q58" s="336"/>
      <c r="R58" s="339"/>
      <c r="S58" s="339"/>
      <c r="T58" s="339"/>
      <c r="U58" s="953">
        <v>18750000</v>
      </c>
      <c r="V58" s="953">
        <f t="shared" si="6"/>
        <v>206250000</v>
      </c>
      <c r="W58" s="341">
        <v>20000000</v>
      </c>
      <c r="X58" s="341">
        <f>W58*20</f>
        <v>400000000</v>
      </c>
      <c r="Y58" s="340">
        <v>3000000</v>
      </c>
      <c r="Z58" s="340">
        <v>25000000</v>
      </c>
      <c r="AA58" s="341"/>
      <c r="AB58" s="341"/>
      <c r="AC58" s="341"/>
      <c r="AD58" s="341"/>
      <c r="AE58" s="341"/>
      <c r="AF58" s="341" t="s">
        <v>1286</v>
      </c>
      <c r="AG58" s="954"/>
      <c r="AH58" s="341">
        <v>18000000</v>
      </c>
      <c r="AI58" s="341">
        <v>54500000</v>
      </c>
      <c r="AJ58" s="341">
        <f t="shared" si="2"/>
        <v>79500000</v>
      </c>
      <c r="AK58" s="340">
        <v>15000000</v>
      </c>
      <c r="AL58" s="961"/>
      <c r="AM58" s="341" t="s">
        <v>1024</v>
      </c>
      <c r="AN58" s="341"/>
      <c r="AO58" s="341">
        <v>353505181</v>
      </c>
      <c r="AP58" s="342"/>
      <c r="AQ58" s="343"/>
      <c r="AR58" s="343"/>
      <c r="AS58" s="344"/>
      <c r="AT58" s="336"/>
      <c r="AU58" s="336"/>
      <c r="AV58" s="336"/>
    </row>
    <row r="59" spans="1:48" s="214" customFormat="1">
      <c r="A59" s="213"/>
      <c r="B59" s="347" t="s">
        <v>1289</v>
      </c>
      <c r="C59" s="336" t="s">
        <v>1257</v>
      </c>
      <c r="D59" s="336"/>
      <c r="E59" s="336"/>
      <c r="F59" s="336"/>
      <c r="G59" s="336"/>
      <c r="H59" s="337"/>
      <c r="I59" s="336"/>
      <c r="J59" s="336"/>
      <c r="K59" s="336" t="s">
        <v>1196</v>
      </c>
      <c r="L59" s="336">
        <v>42</v>
      </c>
      <c r="M59" s="336"/>
      <c r="N59" s="338"/>
      <c r="O59" s="338"/>
      <c r="P59" s="336"/>
      <c r="Q59" s="336"/>
      <c r="R59" s="339"/>
      <c r="S59" s="339"/>
      <c r="T59" s="339"/>
      <c r="U59" s="953">
        <v>18750000</v>
      </c>
      <c r="V59" s="953">
        <f t="shared" si="6"/>
        <v>206250000</v>
      </c>
      <c r="W59" s="341">
        <v>19000000</v>
      </c>
      <c r="X59" s="341">
        <f t="shared" si="7"/>
        <v>380000000</v>
      </c>
      <c r="Y59" s="340">
        <v>3000000</v>
      </c>
      <c r="Z59" s="340">
        <v>25000000</v>
      </c>
      <c r="AA59" s="341"/>
      <c r="AB59" s="341"/>
      <c r="AC59" s="341"/>
      <c r="AD59" s="341"/>
      <c r="AE59" s="341"/>
      <c r="AF59" s="341" t="s">
        <v>1278</v>
      </c>
      <c r="AG59" s="953" t="s">
        <v>1218</v>
      </c>
      <c r="AH59" s="341">
        <v>50000000</v>
      </c>
      <c r="AI59" s="341">
        <v>35000000</v>
      </c>
      <c r="AJ59" s="341">
        <f t="shared" si="2"/>
        <v>60000000</v>
      </c>
      <c r="AK59" s="340">
        <v>15000000</v>
      </c>
      <c r="AL59" s="961"/>
      <c r="AM59" s="341" t="s">
        <v>1271</v>
      </c>
      <c r="AN59" s="341">
        <v>256500000</v>
      </c>
      <c r="AO59" s="341">
        <v>353505181</v>
      </c>
      <c r="AP59" s="342">
        <v>90466667</v>
      </c>
      <c r="AQ59" s="343">
        <f>AN59+AK59+AJ59+AH59+AA59+Z59+Y59+X59</f>
        <v>789500000</v>
      </c>
      <c r="AR59" s="343">
        <f>AQ59+AO59</f>
        <v>1143005181</v>
      </c>
      <c r="AS59" s="344"/>
      <c r="AT59" s="336"/>
      <c r="AU59" s="336" t="s">
        <v>1199</v>
      </c>
      <c r="AV59" s="336"/>
    </row>
    <row r="60" spans="1:48" s="214" customFormat="1">
      <c r="A60" s="213"/>
      <c r="B60" s="347" t="s">
        <v>3077</v>
      </c>
      <c r="C60" s="336" t="s">
        <v>1257</v>
      </c>
      <c r="D60" s="336"/>
      <c r="E60" s="336"/>
      <c r="F60" s="336"/>
      <c r="G60" s="336"/>
      <c r="H60" s="337"/>
      <c r="I60" s="336"/>
      <c r="J60" s="336"/>
      <c r="K60" s="336" t="s">
        <v>1196</v>
      </c>
      <c r="L60" s="336">
        <v>42</v>
      </c>
      <c r="M60" s="336"/>
      <c r="N60" s="338"/>
      <c r="O60" s="338"/>
      <c r="P60" s="336"/>
      <c r="Q60" s="336"/>
      <c r="R60" s="339"/>
      <c r="S60" s="339"/>
      <c r="T60" s="339"/>
      <c r="U60" s="953">
        <v>18750000</v>
      </c>
      <c r="V60" s="953">
        <f>U60*11</f>
        <v>206250000</v>
      </c>
      <c r="W60" s="341">
        <v>20000000</v>
      </c>
      <c r="X60" s="341">
        <f t="shared" si="7"/>
        <v>400000000</v>
      </c>
      <c r="Y60" s="340">
        <v>3000000</v>
      </c>
      <c r="Z60" s="340">
        <v>25000000</v>
      </c>
      <c r="AA60" s="341"/>
      <c r="AB60" s="341"/>
      <c r="AC60" s="341"/>
      <c r="AD60" s="341"/>
      <c r="AE60" s="341"/>
      <c r="AF60" s="341" t="s">
        <v>1283</v>
      </c>
      <c r="AG60" s="954" t="s">
        <v>1218</v>
      </c>
      <c r="AH60" s="341">
        <v>22700000</v>
      </c>
      <c r="AI60" s="341">
        <v>42000000</v>
      </c>
      <c r="AJ60" s="341">
        <f t="shared" si="2"/>
        <v>67000000</v>
      </c>
      <c r="AK60" s="340">
        <v>15000000</v>
      </c>
      <c r="AL60" s="961"/>
      <c r="AM60" s="341" t="s">
        <v>1024</v>
      </c>
      <c r="AN60" s="341"/>
      <c r="AO60" s="341">
        <v>353505181</v>
      </c>
      <c r="AP60" s="342"/>
      <c r="AQ60" s="343"/>
      <c r="AR60" s="343"/>
      <c r="AS60" s="344"/>
      <c r="AT60" s="336"/>
      <c r="AU60" s="336"/>
      <c r="AV60" s="336"/>
    </row>
    <row r="61" spans="1:48" s="214" customFormat="1">
      <c r="A61" s="213"/>
      <c r="B61" s="347" t="s">
        <v>3076</v>
      </c>
      <c r="C61" s="336" t="s">
        <v>1257</v>
      </c>
      <c r="D61" s="336"/>
      <c r="E61" s="336"/>
      <c r="F61" s="336"/>
      <c r="G61" s="336"/>
      <c r="H61" s="337"/>
      <c r="I61" s="336"/>
      <c r="J61" s="336"/>
      <c r="K61" s="336" t="s">
        <v>1196</v>
      </c>
      <c r="L61" s="336">
        <v>42</v>
      </c>
      <c r="M61" s="336"/>
      <c r="N61" s="338"/>
      <c r="O61" s="338"/>
      <c r="P61" s="336"/>
      <c r="Q61" s="336"/>
      <c r="R61" s="339"/>
      <c r="S61" s="339"/>
      <c r="T61" s="339"/>
      <c r="U61" s="953">
        <v>18750000</v>
      </c>
      <c r="V61" s="953">
        <f>U61*11</f>
        <v>206250000</v>
      </c>
      <c r="W61" s="341">
        <v>20000000</v>
      </c>
      <c r="X61" s="341">
        <f t="shared" si="7"/>
        <v>400000000</v>
      </c>
      <c r="Y61" s="340">
        <v>3000000</v>
      </c>
      <c r="Z61" s="340">
        <v>25000000</v>
      </c>
      <c r="AA61" s="341"/>
      <c r="AB61" s="341"/>
      <c r="AC61" s="341"/>
      <c r="AD61" s="341"/>
      <c r="AE61" s="341"/>
      <c r="AF61" s="341" t="s">
        <v>1207</v>
      </c>
      <c r="AG61" s="954" t="s">
        <v>1218</v>
      </c>
      <c r="AH61" s="341">
        <v>28600000</v>
      </c>
      <c r="AI61" s="341">
        <v>45000000</v>
      </c>
      <c r="AJ61" s="341">
        <f t="shared" si="2"/>
        <v>70000000</v>
      </c>
      <c r="AK61" s="340">
        <v>15000000</v>
      </c>
      <c r="AL61" s="961"/>
      <c r="AM61" s="341" t="s">
        <v>1024</v>
      </c>
      <c r="AN61" s="341">
        <v>256500000</v>
      </c>
      <c r="AO61" s="341">
        <v>353505181</v>
      </c>
      <c r="AP61" s="342"/>
      <c r="AQ61" s="343"/>
      <c r="AR61" s="343"/>
      <c r="AS61" s="344"/>
      <c r="AT61" s="336"/>
      <c r="AU61" s="336" t="s">
        <v>166</v>
      </c>
      <c r="AV61" s="336"/>
    </row>
    <row r="62" spans="1:48" s="214" customFormat="1">
      <c r="A62" s="213"/>
      <c r="B62" s="347" t="s">
        <v>1291</v>
      </c>
      <c r="C62" s="336" t="s">
        <v>1257</v>
      </c>
      <c r="D62" s="336"/>
      <c r="E62" s="336"/>
      <c r="F62" s="336"/>
      <c r="G62" s="336"/>
      <c r="H62" s="337"/>
      <c r="I62" s="336"/>
      <c r="J62" s="336"/>
      <c r="K62" s="336" t="s">
        <v>1196</v>
      </c>
      <c r="L62" s="336">
        <v>42</v>
      </c>
      <c r="M62" s="336"/>
      <c r="N62" s="338"/>
      <c r="O62" s="338"/>
      <c r="P62" s="336"/>
      <c r="Q62" s="336"/>
      <c r="R62" s="339"/>
      <c r="S62" s="339"/>
      <c r="T62" s="339"/>
      <c r="U62" s="953">
        <v>18750000</v>
      </c>
      <c r="V62" s="953">
        <f>U62*11</f>
        <v>206250000</v>
      </c>
      <c r="W62" s="341">
        <v>20000000</v>
      </c>
      <c r="X62" s="341">
        <f t="shared" si="7"/>
        <v>400000000</v>
      </c>
      <c r="Y62" s="340">
        <v>3000000</v>
      </c>
      <c r="Z62" s="340">
        <v>25000000</v>
      </c>
      <c r="AA62" s="341"/>
      <c r="AB62" s="341"/>
      <c r="AC62" s="341"/>
      <c r="AD62" s="341"/>
      <c r="AE62" s="341"/>
      <c r="AF62" s="341" t="s">
        <v>1264</v>
      </c>
      <c r="AG62" s="954" t="s">
        <v>1218</v>
      </c>
      <c r="AH62" s="341">
        <v>31500000</v>
      </c>
      <c r="AI62" s="341">
        <v>40500000</v>
      </c>
      <c r="AJ62" s="341">
        <f t="shared" si="2"/>
        <v>65500000</v>
      </c>
      <c r="AK62" s="340">
        <v>15000000</v>
      </c>
      <c r="AL62" s="961"/>
      <c r="AM62" s="341" t="s">
        <v>1024</v>
      </c>
      <c r="AN62" s="341">
        <v>256500000</v>
      </c>
      <c r="AO62" s="341">
        <v>353505181</v>
      </c>
      <c r="AP62" s="342"/>
      <c r="AQ62" s="343"/>
      <c r="AR62" s="343"/>
      <c r="AS62" s="344"/>
      <c r="AT62" s="336"/>
      <c r="AU62" s="336" t="s">
        <v>1284</v>
      </c>
      <c r="AV62" s="336"/>
    </row>
    <row r="63" spans="1:48" s="214" customFormat="1">
      <c r="A63" s="213"/>
      <c r="B63" s="347" t="s">
        <v>1292</v>
      </c>
      <c r="C63" s="336" t="s">
        <v>659</v>
      </c>
      <c r="D63" s="336"/>
      <c r="E63" s="336"/>
      <c r="F63" s="336"/>
      <c r="G63" s="336"/>
      <c r="H63" s="337"/>
      <c r="I63" s="336"/>
      <c r="J63" s="336"/>
      <c r="K63" s="336" t="s">
        <v>1196</v>
      </c>
      <c r="L63" s="336">
        <v>36</v>
      </c>
      <c r="M63" s="336"/>
      <c r="N63" s="338"/>
      <c r="O63" s="338"/>
      <c r="P63" s="336"/>
      <c r="Q63" s="336"/>
      <c r="R63" s="339"/>
      <c r="S63" s="339"/>
      <c r="T63" s="339"/>
      <c r="U63" s="953">
        <v>43750000</v>
      </c>
      <c r="V63" s="953">
        <f t="shared" si="6"/>
        <v>481250000</v>
      </c>
      <c r="W63" s="341">
        <v>24000000</v>
      </c>
      <c r="X63" s="341">
        <f t="shared" si="7"/>
        <v>480000000</v>
      </c>
      <c r="Y63" s="340">
        <v>3000000</v>
      </c>
      <c r="Z63" s="340">
        <v>25000000</v>
      </c>
      <c r="AA63" s="341"/>
      <c r="AB63" s="341"/>
      <c r="AC63" s="341"/>
      <c r="AD63" s="341"/>
      <c r="AE63" s="341"/>
      <c r="AF63" s="341" t="s">
        <v>1293</v>
      </c>
      <c r="AG63" s="953">
        <v>1000000</v>
      </c>
      <c r="AH63" s="341">
        <f>AG63*14</f>
        <v>14000000</v>
      </c>
      <c r="AI63" s="341">
        <v>51000000</v>
      </c>
      <c r="AJ63" s="341">
        <f t="shared" si="2"/>
        <v>76000000</v>
      </c>
      <c r="AK63" s="340">
        <v>15000000</v>
      </c>
      <c r="AL63" s="961"/>
      <c r="AM63" s="341" t="s">
        <v>1241</v>
      </c>
      <c r="AN63" s="341"/>
      <c r="AO63" s="341">
        <v>433505181.050313</v>
      </c>
      <c r="AP63" s="342">
        <v>90466667</v>
      </c>
      <c r="AQ63" s="343">
        <f>AN63+AK63+AJ63+AH63+AA63+Z63+Y63+X63</f>
        <v>613000000</v>
      </c>
      <c r="AR63" s="343">
        <f>AQ63+AO63</f>
        <v>1046505181.050313</v>
      </c>
      <c r="AS63" s="344"/>
      <c r="AT63" s="336"/>
      <c r="AU63" s="336" t="s">
        <v>1199</v>
      </c>
      <c r="AV63" s="336"/>
    </row>
    <row r="64" spans="1:48" s="214" customFormat="1">
      <c r="A64" s="213"/>
      <c r="B64" s="347" t="s">
        <v>1294</v>
      </c>
      <c r="C64" s="336" t="s">
        <v>659</v>
      </c>
      <c r="D64" s="336"/>
      <c r="E64" s="336"/>
      <c r="F64" s="336"/>
      <c r="G64" s="336"/>
      <c r="H64" s="337"/>
      <c r="I64" s="336"/>
      <c r="J64" s="336"/>
      <c r="K64" s="336" t="s">
        <v>1196</v>
      </c>
      <c r="L64" s="336">
        <v>36</v>
      </c>
      <c r="M64" s="336"/>
      <c r="N64" s="338"/>
      <c r="O64" s="338"/>
      <c r="P64" s="336"/>
      <c r="Q64" s="336"/>
      <c r="R64" s="339"/>
      <c r="S64" s="339"/>
      <c r="T64" s="339"/>
      <c r="U64" s="953">
        <v>43750000</v>
      </c>
      <c r="V64" s="953">
        <f t="shared" si="6"/>
        <v>481250000</v>
      </c>
      <c r="W64" s="341">
        <v>20000000</v>
      </c>
      <c r="X64" s="341">
        <f t="shared" si="7"/>
        <v>400000000</v>
      </c>
      <c r="Y64" s="340">
        <v>3000000</v>
      </c>
      <c r="Z64" s="340">
        <v>25000000</v>
      </c>
      <c r="AA64" s="341"/>
      <c r="AB64" s="341"/>
      <c r="AC64" s="341"/>
      <c r="AD64" s="341"/>
      <c r="AE64" s="341"/>
      <c r="AF64" s="341" t="s">
        <v>1135</v>
      </c>
      <c r="AG64" s="953">
        <v>750000</v>
      </c>
      <c r="AH64" s="341">
        <f>AG64*30</f>
        <v>22500000</v>
      </c>
      <c r="AI64" s="341">
        <v>46500000</v>
      </c>
      <c r="AJ64" s="341">
        <f t="shared" si="2"/>
        <v>71500000</v>
      </c>
      <c r="AK64" s="340">
        <v>15000000</v>
      </c>
      <c r="AL64" s="961"/>
      <c r="AM64" s="341" t="s">
        <v>1241</v>
      </c>
      <c r="AN64" s="341"/>
      <c r="AO64" s="341">
        <v>433505181.050313</v>
      </c>
      <c r="AP64" s="342">
        <v>90466667</v>
      </c>
      <c r="AQ64" s="343">
        <f>AN64+AK64+AJ64+AH64+AA64+Z64+Y64+X64</f>
        <v>537000000</v>
      </c>
      <c r="AR64" s="343">
        <f>AQ64+AO64</f>
        <v>970505181.050313</v>
      </c>
      <c r="AS64" s="344"/>
      <c r="AT64" s="336"/>
      <c r="AU64" s="336" t="s">
        <v>1199</v>
      </c>
      <c r="AV64" s="336"/>
    </row>
    <row r="65" spans="1:48" s="214" customFormat="1">
      <c r="A65" s="213"/>
      <c r="B65" s="347" t="s">
        <v>1295</v>
      </c>
      <c r="C65" s="336" t="s">
        <v>1296</v>
      </c>
      <c r="D65" s="336"/>
      <c r="E65" s="336"/>
      <c r="F65" s="336"/>
      <c r="G65" s="336"/>
      <c r="H65" s="337"/>
      <c r="I65" s="336"/>
      <c r="J65" s="336"/>
      <c r="K65" s="336" t="s">
        <v>1118</v>
      </c>
      <c r="L65" s="336">
        <v>20</v>
      </c>
      <c r="M65" s="336"/>
      <c r="N65" s="338"/>
      <c r="O65" s="338"/>
      <c r="P65" s="336"/>
      <c r="Q65" s="336"/>
      <c r="R65" s="339"/>
      <c r="S65" s="339"/>
      <c r="T65" s="339"/>
      <c r="U65" s="953">
        <v>25000000</v>
      </c>
      <c r="V65" s="953">
        <f t="shared" si="6"/>
        <v>275000000</v>
      </c>
      <c r="W65" s="341">
        <v>15000000</v>
      </c>
      <c r="X65" s="341">
        <f t="shared" si="7"/>
        <v>300000000</v>
      </c>
      <c r="Y65" s="340">
        <v>3000000</v>
      </c>
      <c r="Z65" s="340">
        <v>25000000</v>
      </c>
      <c r="AA65" s="341"/>
      <c r="AB65" s="341"/>
      <c r="AC65" s="341"/>
      <c r="AD65" s="341"/>
      <c r="AE65" s="341"/>
      <c r="AF65" s="341" t="s">
        <v>1281</v>
      </c>
      <c r="AG65" s="953">
        <v>500000</v>
      </c>
      <c r="AH65" s="341">
        <f>AG65*17</f>
        <v>8500000</v>
      </c>
      <c r="AI65" s="341">
        <v>45000000</v>
      </c>
      <c r="AJ65" s="341">
        <f t="shared" si="2"/>
        <v>70000000</v>
      </c>
      <c r="AK65" s="340">
        <v>15000000</v>
      </c>
      <c r="AL65" s="961"/>
      <c r="AM65" s="341" t="s">
        <v>1297</v>
      </c>
      <c r="AN65" s="341"/>
      <c r="AO65" s="341">
        <v>140000000</v>
      </c>
      <c r="AP65" s="342">
        <v>90466667</v>
      </c>
      <c r="AQ65" s="343">
        <f>AN65+AK65+AJ65+AH65+AA65+Z65+Y65+X65</f>
        <v>421500000</v>
      </c>
      <c r="AR65" s="343">
        <f>AQ65+AO65</f>
        <v>561500000</v>
      </c>
      <c r="AS65" s="344"/>
      <c r="AT65" s="336"/>
      <c r="AU65" s="336" t="s">
        <v>1199</v>
      </c>
      <c r="AV65" s="336"/>
    </row>
    <row r="66" spans="1:48" s="214" customFormat="1">
      <c r="A66" s="213"/>
      <c r="B66" s="347" t="s">
        <v>1298</v>
      </c>
      <c r="C66" s="336" t="s">
        <v>53</v>
      </c>
      <c r="D66" s="336"/>
      <c r="E66" s="336"/>
      <c r="F66" s="336"/>
      <c r="G66" s="336"/>
      <c r="H66" s="337"/>
      <c r="I66" s="336"/>
      <c r="J66" s="336"/>
      <c r="K66" s="336" t="s">
        <v>1196</v>
      </c>
      <c r="L66" s="336">
        <v>36</v>
      </c>
      <c r="M66" s="336"/>
      <c r="N66" s="338"/>
      <c r="O66" s="338"/>
      <c r="P66" s="336"/>
      <c r="Q66" s="336"/>
      <c r="R66" s="339"/>
      <c r="S66" s="339"/>
      <c r="T66" s="339"/>
      <c r="U66" s="953">
        <v>25000000</v>
      </c>
      <c r="V66" s="953">
        <f t="shared" si="6"/>
        <v>275000000</v>
      </c>
      <c r="W66" s="341">
        <v>20000000</v>
      </c>
      <c r="X66" s="341">
        <f t="shared" si="7"/>
        <v>400000000</v>
      </c>
      <c r="Y66" s="340">
        <v>3000000</v>
      </c>
      <c r="Z66" s="340">
        <v>25000000</v>
      </c>
      <c r="AA66" s="341"/>
      <c r="AB66" s="341"/>
      <c r="AC66" s="341"/>
      <c r="AD66" s="341"/>
      <c r="AE66" s="341"/>
      <c r="AF66" s="341" t="s">
        <v>1299</v>
      </c>
      <c r="AG66" s="953">
        <v>500000</v>
      </c>
      <c r="AH66" s="341">
        <f>AG66*10</f>
        <v>5000000</v>
      </c>
      <c r="AI66" s="341">
        <v>49500000</v>
      </c>
      <c r="AJ66" s="341">
        <f t="shared" si="2"/>
        <v>74500000</v>
      </c>
      <c r="AK66" s="340">
        <v>15000000</v>
      </c>
      <c r="AL66" s="961"/>
      <c r="AM66" s="341" t="s">
        <v>1300</v>
      </c>
      <c r="AN66" s="341">
        <v>256500000</v>
      </c>
      <c r="AO66" s="341">
        <v>433505181.050313</v>
      </c>
      <c r="AP66" s="342">
        <v>90466667</v>
      </c>
      <c r="AQ66" s="343">
        <f>AN66+AK66+AJ66+AH66+AA66+Z66+Y66+X66</f>
        <v>779000000</v>
      </c>
      <c r="AR66" s="343">
        <f>AQ66+AO66</f>
        <v>1212505181.050313</v>
      </c>
      <c r="AS66" s="344"/>
      <c r="AT66" s="336"/>
      <c r="AU66" s="336" t="s">
        <v>1199</v>
      </c>
      <c r="AV66" s="336"/>
    </row>
    <row r="67" spans="1:48" s="214" customFormat="1">
      <c r="A67" s="213"/>
      <c r="B67" s="347" t="s">
        <v>1301</v>
      </c>
      <c r="C67" s="336" t="s">
        <v>53</v>
      </c>
      <c r="D67" s="336"/>
      <c r="E67" s="336"/>
      <c r="F67" s="336"/>
      <c r="G67" s="336"/>
      <c r="H67" s="337"/>
      <c r="I67" s="336"/>
      <c r="J67" s="336"/>
      <c r="K67" s="336" t="s">
        <v>1196</v>
      </c>
      <c r="L67" s="336">
        <v>42</v>
      </c>
      <c r="M67" s="336"/>
      <c r="N67" s="338"/>
      <c r="O67" s="338"/>
      <c r="P67" s="336"/>
      <c r="Q67" s="336"/>
      <c r="R67" s="339"/>
      <c r="S67" s="339"/>
      <c r="T67" s="339"/>
      <c r="U67" s="953">
        <v>25000000</v>
      </c>
      <c r="V67" s="953">
        <f t="shared" si="6"/>
        <v>275000000</v>
      </c>
      <c r="W67" s="341">
        <v>20000000</v>
      </c>
      <c r="X67" s="341">
        <f t="shared" si="7"/>
        <v>400000000</v>
      </c>
      <c r="Y67" s="340">
        <v>3000000</v>
      </c>
      <c r="Z67" s="340">
        <v>25000000</v>
      </c>
      <c r="AA67" s="341"/>
      <c r="AB67" s="341"/>
      <c r="AC67" s="341"/>
      <c r="AD67" s="341"/>
      <c r="AE67" s="341"/>
      <c r="AF67" s="341" t="s">
        <v>1302</v>
      </c>
      <c r="AG67" s="953" t="s">
        <v>1218</v>
      </c>
      <c r="AH67" s="341">
        <v>44200000</v>
      </c>
      <c r="AI67" s="341">
        <v>60800000</v>
      </c>
      <c r="AJ67" s="341">
        <f t="shared" si="2"/>
        <v>85800000</v>
      </c>
      <c r="AK67" s="340">
        <v>15000000</v>
      </c>
      <c r="AL67" s="961"/>
      <c r="AM67" s="341" t="s">
        <v>1024</v>
      </c>
      <c r="AN67" s="341">
        <v>256500000</v>
      </c>
      <c r="AO67" s="341">
        <v>433505181.050313</v>
      </c>
      <c r="AP67" s="342"/>
      <c r="AQ67" s="343"/>
      <c r="AR67" s="343"/>
      <c r="AS67" s="344"/>
      <c r="AT67" s="336"/>
      <c r="AU67" s="336" t="s">
        <v>1199</v>
      </c>
      <c r="AV67" s="336"/>
    </row>
    <row r="68" spans="1:48" s="214" customFormat="1">
      <c r="A68" s="213"/>
      <c r="B68" s="347" t="s">
        <v>1303</v>
      </c>
      <c r="C68" s="336" t="s">
        <v>53</v>
      </c>
      <c r="D68" s="336"/>
      <c r="E68" s="336"/>
      <c r="F68" s="336"/>
      <c r="G68" s="336"/>
      <c r="H68" s="337"/>
      <c r="I68" s="336"/>
      <c r="J68" s="336"/>
      <c r="K68" s="336" t="s">
        <v>1196</v>
      </c>
      <c r="L68" s="336">
        <v>32</v>
      </c>
      <c r="M68" s="336"/>
      <c r="N68" s="338"/>
      <c r="O68" s="338"/>
      <c r="P68" s="336"/>
      <c r="Q68" s="336"/>
      <c r="R68" s="339"/>
      <c r="S68" s="339"/>
      <c r="T68" s="339"/>
      <c r="U68" s="953">
        <v>25000000</v>
      </c>
      <c r="V68" s="953">
        <f t="shared" si="6"/>
        <v>275000000</v>
      </c>
      <c r="W68" s="341">
        <v>20000000</v>
      </c>
      <c r="X68" s="341">
        <f>W68*10</f>
        <v>200000000</v>
      </c>
      <c r="Y68" s="340">
        <v>3000000</v>
      </c>
      <c r="Z68" s="340">
        <v>25000000</v>
      </c>
      <c r="AA68" s="341"/>
      <c r="AB68" s="341"/>
      <c r="AC68" s="341"/>
      <c r="AD68" s="341"/>
      <c r="AE68" s="341"/>
      <c r="AF68" s="341" t="s">
        <v>1201</v>
      </c>
      <c r="AG68" s="953">
        <v>700000</v>
      </c>
      <c r="AH68" s="341">
        <f>AG68*38</f>
        <v>26600000</v>
      </c>
      <c r="AI68" s="341">
        <v>44000000</v>
      </c>
      <c r="AJ68" s="341">
        <f t="shared" si="2"/>
        <v>69000000</v>
      </c>
      <c r="AK68" s="340">
        <v>15000000</v>
      </c>
      <c r="AL68" s="961"/>
      <c r="AM68" s="341" t="s">
        <v>1198</v>
      </c>
      <c r="AN68" s="341"/>
      <c r="AO68" s="341"/>
      <c r="AP68" s="342"/>
      <c r="AQ68" s="343"/>
      <c r="AR68" s="343"/>
      <c r="AS68" s="344"/>
      <c r="AT68" s="336"/>
      <c r="AU68" s="336"/>
      <c r="AV68" s="336"/>
    </row>
    <row r="69" spans="1:48" s="214" customFormat="1">
      <c r="A69" s="213">
        <v>2021</v>
      </c>
      <c r="B69" s="347" t="s">
        <v>52</v>
      </c>
      <c r="C69" s="336" t="s">
        <v>53</v>
      </c>
      <c r="D69" s="336"/>
      <c r="E69" s="336"/>
      <c r="F69" s="336"/>
      <c r="G69" s="336"/>
      <c r="H69" s="337"/>
      <c r="I69" s="336"/>
      <c r="J69" s="336"/>
      <c r="K69" s="336" t="s">
        <v>1196</v>
      </c>
      <c r="L69" s="336">
        <v>27</v>
      </c>
      <c r="M69" s="336"/>
      <c r="N69" s="338"/>
      <c r="O69" s="338"/>
      <c r="P69" s="336"/>
      <c r="Q69" s="336"/>
      <c r="R69" s="339"/>
      <c r="S69" s="339"/>
      <c r="T69" s="339"/>
      <c r="U69" s="953">
        <v>25000000</v>
      </c>
      <c r="V69" s="953">
        <f t="shared" si="6"/>
        <v>275000000</v>
      </c>
      <c r="W69" s="341">
        <v>45000000</v>
      </c>
      <c r="X69" s="341">
        <f>W69*11</f>
        <v>495000000</v>
      </c>
      <c r="Y69" s="340">
        <v>3000000</v>
      </c>
      <c r="Z69" s="340">
        <v>25000000</v>
      </c>
      <c r="AA69" s="341"/>
      <c r="AB69" s="341"/>
      <c r="AC69" s="341"/>
      <c r="AD69" s="341"/>
      <c r="AE69" s="341"/>
      <c r="AF69" s="341" t="s">
        <v>1222</v>
      </c>
      <c r="AG69" s="953">
        <v>1000000</v>
      </c>
      <c r="AH69" s="341">
        <f>AG69*23</f>
        <v>23000000</v>
      </c>
      <c r="AI69" s="341">
        <v>47000000</v>
      </c>
      <c r="AJ69" s="341">
        <f t="shared" si="2"/>
        <v>72000000</v>
      </c>
      <c r="AK69" s="340">
        <v>15000000</v>
      </c>
      <c r="AL69" s="961">
        <f>AJ69+AH69</f>
        <v>95000000</v>
      </c>
      <c r="AM69" s="341" t="s">
        <v>1304</v>
      </c>
      <c r="AN69" s="341"/>
      <c r="AO69" s="341">
        <v>259307105</v>
      </c>
      <c r="AP69" s="342"/>
      <c r="AQ69" s="343"/>
      <c r="AR69" s="343"/>
      <c r="AS69" s="344"/>
      <c r="AT69" s="336"/>
      <c r="AU69" s="336"/>
      <c r="AV69" s="336"/>
    </row>
    <row r="70" spans="1:48" s="214" customFormat="1">
      <c r="A70" s="213"/>
      <c r="B70" s="347" t="s">
        <v>1305</v>
      </c>
      <c r="C70" s="336" t="s">
        <v>1296</v>
      </c>
      <c r="D70" s="336"/>
      <c r="E70" s="336"/>
      <c r="F70" s="336"/>
      <c r="G70" s="336"/>
      <c r="H70" s="337"/>
      <c r="I70" s="336"/>
      <c r="J70" s="336"/>
      <c r="K70" s="336" t="s">
        <v>1118</v>
      </c>
      <c r="L70" s="336">
        <v>20</v>
      </c>
      <c r="M70" s="336"/>
      <c r="N70" s="338"/>
      <c r="O70" s="338"/>
      <c r="P70" s="336"/>
      <c r="Q70" s="336"/>
      <c r="R70" s="339"/>
      <c r="S70" s="339"/>
      <c r="T70" s="339"/>
      <c r="U70" s="953">
        <v>25000000</v>
      </c>
      <c r="V70" s="953">
        <f t="shared" si="6"/>
        <v>275000000</v>
      </c>
      <c r="W70" s="341">
        <v>15000000</v>
      </c>
      <c r="X70" s="341">
        <f>W70*20</f>
        <v>300000000</v>
      </c>
      <c r="Y70" s="340">
        <v>3000000</v>
      </c>
      <c r="Z70" s="340">
        <v>25000000</v>
      </c>
      <c r="AA70" s="341"/>
      <c r="AB70" s="341"/>
      <c r="AC70" s="341"/>
      <c r="AD70" s="341"/>
      <c r="AE70" s="341"/>
      <c r="AF70" s="341" t="s">
        <v>1306</v>
      </c>
      <c r="AG70" s="953">
        <v>500000</v>
      </c>
      <c r="AH70" s="341">
        <f>AG70*19</f>
        <v>9500000</v>
      </c>
      <c r="AI70" s="341">
        <v>45000000</v>
      </c>
      <c r="AJ70" s="341">
        <f t="shared" si="2"/>
        <v>70000000</v>
      </c>
      <c r="AK70" s="340">
        <v>15000000</v>
      </c>
      <c r="AL70" s="961"/>
      <c r="AM70" s="341" t="s">
        <v>1297</v>
      </c>
      <c r="AN70" s="341"/>
      <c r="AO70" s="341">
        <v>140000000</v>
      </c>
      <c r="AP70" s="342">
        <v>90466667</v>
      </c>
      <c r="AQ70" s="343">
        <f t="shared" ref="AQ70:AQ75" si="10">AN70+AK70+AJ70+AH70+AA70+Z70+Y70+X70</f>
        <v>422500000</v>
      </c>
      <c r="AR70" s="343">
        <f t="shared" ref="AR70:AR75" si="11">AQ70+AO70</f>
        <v>562500000</v>
      </c>
      <c r="AS70" s="344"/>
      <c r="AT70" s="336"/>
      <c r="AU70" s="336" t="s">
        <v>1199</v>
      </c>
      <c r="AV70" s="336"/>
    </row>
    <row r="71" spans="1:48" s="214" customFormat="1">
      <c r="A71" s="213"/>
      <c r="B71" s="335" t="s">
        <v>1307</v>
      </c>
      <c r="C71" s="336" t="s">
        <v>1257</v>
      </c>
      <c r="D71" s="336"/>
      <c r="E71" s="336"/>
      <c r="F71" s="336"/>
      <c r="G71" s="336"/>
      <c r="H71" s="337"/>
      <c r="I71" s="336"/>
      <c r="J71" s="336"/>
      <c r="K71" s="336" t="s">
        <v>1196</v>
      </c>
      <c r="L71" s="336">
        <v>52</v>
      </c>
      <c r="M71" s="336"/>
      <c r="N71" s="338"/>
      <c r="O71" s="338"/>
      <c r="P71" s="336"/>
      <c r="Q71" s="336"/>
      <c r="R71" s="339"/>
      <c r="S71" s="339"/>
      <c r="T71" s="339"/>
      <c r="U71" s="953">
        <v>18750000</v>
      </c>
      <c r="V71" s="953">
        <f t="shared" si="6"/>
        <v>206250000</v>
      </c>
      <c r="W71" s="341">
        <v>17500000</v>
      </c>
      <c r="X71" s="341">
        <f>W71*11</f>
        <v>192500000</v>
      </c>
      <c r="Y71" s="340">
        <v>3000000</v>
      </c>
      <c r="Z71" s="340">
        <v>25700000</v>
      </c>
      <c r="AA71" s="341"/>
      <c r="AB71" s="341"/>
      <c r="AC71" s="341"/>
      <c r="AD71" s="341"/>
      <c r="AE71" s="341"/>
      <c r="AF71" s="341" t="s">
        <v>1210</v>
      </c>
      <c r="AG71" s="953">
        <v>500000</v>
      </c>
      <c r="AH71" s="341">
        <f>AG71*26</f>
        <v>13000000</v>
      </c>
      <c r="AI71" s="341">
        <v>45300000</v>
      </c>
      <c r="AJ71" s="341">
        <f t="shared" si="2"/>
        <v>71000000</v>
      </c>
      <c r="AK71" s="340">
        <v>15000000</v>
      </c>
      <c r="AL71" s="961"/>
      <c r="AM71" s="341" t="s">
        <v>1205</v>
      </c>
      <c r="AN71" s="341"/>
      <c r="AO71" s="341">
        <v>423293218</v>
      </c>
      <c r="AP71" s="342">
        <v>90466667</v>
      </c>
      <c r="AQ71" s="343">
        <f t="shared" si="10"/>
        <v>320200000</v>
      </c>
      <c r="AR71" s="343">
        <f t="shared" si="11"/>
        <v>743493218</v>
      </c>
      <c r="AS71" s="344"/>
      <c r="AT71" s="336"/>
      <c r="AU71" s="336" t="s">
        <v>1199</v>
      </c>
      <c r="AV71" s="336"/>
    </row>
    <row r="72" spans="1:48" s="214" customFormat="1">
      <c r="A72" s="213"/>
      <c r="B72" s="335" t="s">
        <v>1308</v>
      </c>
      <c r="C72" s="336" t="s">
        <v>1257</v>
      </c>
      <c r="D72" s="336"/>
      <c r="E72" s="336"/>
      <c r="F72" s="336"/>
      <c r="G72" s="336"/>
      <c r="H72" s="337"/>
      <c r="I72" s="336"/>
      <c r="J72" s="336"/>
      <c r="K72" s="336" t="s">
        <v>1196</v>
      </c>
      <c r="L72" s="336">
        <v>52</v>
      </c>
      <c r="M72" s="336"/>
      <c r="N72" s="338"/>
      <c r="O72" s="338"/>
      <c r="P72" s="336"/>
      <c r="Q72" s="336"/>
      <c r="R72" s="339"/>
      <c r="S72" s="339"/>
      <c r="T72" s="339"/>
      <c r="U72" s="953">
        <v>18750000</v>
      </c>
      <c r="V72" s="953">
        <f t="shared" si="6"/>
        <v>206250000</v>
      </c>
      <c r="W72" s="341">
        <f>X72/11</f>
        <v>18181818.181818184</v>
      </c>
      <c r="X72" s="341">
        <v>200000000</v>
      </c>
      <c r="Y72" s="340">
        <v>3000000</v>
      </c>
      <c r="Z72" s="340">
        <v>25700000</v>
      </c>
      <c r="AA72" s="341"/>
      <c r="AB72" s="341"/>
      <c r="AC72" s="341"/>
      <c r="AD72" s="341"/>
      <c r="AE72" s="341"/>
      <c r="AF72" s="341" t="s">
        <v>1228</v>
      </c>
      <c r="AG72" s="953">
        <v>500000</v>
      </c>
      <c r="AH72" s="341">
        <f>AG72*21</f>
        <v>10500000</v>
      </c>
      <c r="AI72" s="341">
        <v>40300000</v>
      </c>
      <c r="AJ72" s="341">
        <f t="shared" si="2"/>
        <v>66000000</v>
      </c>
      <c r="AK72" s="340">
        <v>15000000</v>
      </c>
      <c r="AL72" s="961"/>
      <c r="AM72" s="341" t="s">
        <v>1205</v>
      </c>
      <c r="AN72" s="341"/>
      <c r="AO72" s="341">
        <v>423293218</v>
      </c>
      <c r="AP72" s="342">
        <v>90466667</v>
      </c>
      <c r="AQ72" s="343">
        <f t="shared" si="10"/>
        <v>320200000</v>
      </c>
      <c r="AR72" s="343">
        <f t="shared" si="11"/>
        <v>743493218</v>
      </c>
      <c r="AS72" s="344"/>
      <c r="AT72" s="336"/>
      <c r="AU72" s="336" t="s">
        <v>1199</v>
      </c>
      <c r="AV72" s="336"/>
    </row>
    <row r="73" spans="1:48" s="214" customFormat="1">
      <c r="A73" s="213"/>
      <c r="B73" s="335" t="s">
        <v>1309</v>
      </c>
      <c r="C73" s="336" t="s">
        <v>1257</v>
      </c>
      <c r="D73" s="336"/>
      <c r="E73" s="336"/>
      <c r="F73" s="336"/>
      <c r="G73" s="336"/>
      <c r="H73" s="337"/>
      <c r="I73" s="336"/>
      <c r="J73" s="336"/>
      <c r="K73" s="336" t="s">
        <v>1196</v>
      </c>
      <c r="L73" s="336">
        <v>52</v>
      </c>
      <c r="M73" s="336"/>
      <c r="N73" s="338"/>
      <c r="O73" s="338"/>
      <c r="P73" s="336"/>
      <c r="Q73" s="336"/>
      <c r="R73" s="339"/>
      <c r="S73" s="339"/>
      <c r="T73" s="339"/>
      <c r="U73" s="953">
        <v>18750000</v>
      </c>
      <c r="V73" s="953">
        <f t="shared" si="6"/>
        <v>206250000</v>
      </c>
      <c r="W73" s="341">
        <v>20000000</v>
      </c>
      <c r="X73" s="341">
        <f t="shared" ref="X73:X89" si="12">W73*20</f>
        <v>400000000</v>
      </c>
      <c r="Y73" s="340">
        <v>3000000</v>
      </c>
      <c r="Z73" s="340">
        <v>25700000</v>
      </c>
      <c r="AA73" s="341"/>
      <c r="AB73" s="341"/>
      <c r="AC73" s="341"/>
      <c r="AD73" s="341"/>
      <c r="AE73" s="341"/>
      <c r="AF73" s="341" t="s">
        <v>1276</v>
      </c>
      <c r="AG73" s="953"/>
      <c r="AH73" s="341">
        <v>9600000</v>
      </c>
      <c r="AI73" s="341">
        <v>28800000</v>
      </c>
      <c r="AJ73" s="341">
        <f t="shared" ref="AJ73:AJ152" si="13">AI73+Z73</f>
        <v>54500000</v>
      </c>
      <c r="AK73" s="340">
        <v>15000000</v>
      </c>
      <c r="AL73" s="961"/>
      <c r="AM73" s="341" t="s">
        <v>1205</v>
      </c>
      <c r="AN73" s="341"/>
      <c r="AO73" s="341">
        <v>423293218</v>
      </c>
      <c r="AP73" s="342">
        <v>90466667</v>
      </c>
      <c r="AQ73" s="343">
        <f t="shared" si="10"/>
        <v>507800000</v>
      </c>
      <c r="AR73" s="343">
        <f t="shared" si="11"/>
        <v>931093218</v>
      </c>
      <c r="AS73" s="344"/>
      <c r="AT73" s="336"/>
      <c r="AU73" s="336" t="s">
        <v>1199</v>
      </c>
      <c r="AV73" s="336"/>
    </row>
    <row r="74" spans="1:48" s="214" customFormat="1">
      <c r="A74" s="213"/>
      <c r="B74" s="335" t="s">
        <v>1310</v>
      </c>
      <c r="C74" s="336" t="s">
        <v>1257</v>
      </c>
      <c r="D74" s="336"/>
      <c r="E74" s="336"/>
      <c r="F74" s="336"/>
      <c r="G74" s="336"/>
      <c r="H74" s="337"/>
      <c r="I74" s="336"/>
      <c r="J74" s="336"/>
      <c r="K74" s="336" t="s">
        <v>1196</v>
      </c>
      <c r="L74" s="336">
        <v>52</v>
      </c>
      <c r="M74" s="336"/>
      <c r="N74" s="338"/>
      <c r="O74" s="338"/>
      <c r="P74" s="336"/>
      <c r="Q74" s="336"/>
      <c r="R74" s="339"/>
      <c r="S74" s="339"/>
      <c r="T74" s="339"/>
      <c r="U74" s="953">
        <v>18750000</v>
      </c>
      <c r="V74" s="953">
        <f t="shared" si="6"/>
        <v>206250000</v>
      </c>
      <c r="W74" s="341">
        <v>15000000</v>
      </c>
      <c r="X74" s="341">
        <f t="shared" si="12"/>
        <v>300000000</v>
      </c>
      <c r="Y74" s="340">
        <v>3000000</v>
      </c>
      <c r="Z74" s="340">
        <v>25700000</v>
      </c>
      <c r="AA74" s="341"/>
      <c r="AB74" s="341"/>
      <c r="AC74" s="341"/>
      <c r="AD74" s="341"/>
      <c r="AE74" s="341"/>
      <c r="AF74" s="341" t="s">
        <v>1281</v>
      </c>
      <c r="AG74" s="953">
        <v>300000</v>
      </c>
      <c r="AH74" s="341">
        <f>AG74*17</f>
        <v>5100000</v>
      </c>
      <c r="AI74" s="341">
        <f>42300000-1500000</f>
        <v>40800000</v>
      </c>
      <c r="AJ74" s="341">
        <f t="shared" si="13"/>
        <v>66500000</v>
      </c>
      <c r="AK74" s="340">
        <v>15000000</v>
      </c>
      <c r="AL74" s="961"/>
      <c r="AM74" s="341" t="s">
        <v>1205</v>
      </c>
      <c r="AN74" s="341"/>
      <c r="AO74" s="341">
        <v>423293218</v>
      </c>
      <c r="AP74" s="342">
        <v>90466667</v>
      </c>
      <c r="AQ74" s="343">
        <f t="shared" si="10"/>
        <v>415300000</v>
      </c>
      <c r="AR74" s="343">
        <f t="shared" si="11"/>
        <v>838593218</v>
      </c>
      <c r="AS74" s="344"/>
      <c r="AT74" s="336"/>
      <c r="AU74" s="336" t="s">
        <v>1199</v>
      </c>
      <c r="AV74" s="336"/>
    </row>
    <row r="75" spans="1:48" s="214" customFormat="1">
      <c r="A75" s="213"/>
      <c r="B75" s="335" t="s">
        <v>1311</v>
      </c>
      <c r="C75" s="336" t="s">
        <v>1257</v>
      </c>
      <c r="D75" s="336"/>
      <c r="E75" s="336"/>
      <c r="F75" s="336"/>
      <c r="G75" s="336"/>
      <c r="H75" s="337"/>
      <c r="I75" s="336"/>
      <c r="J75" s="336"/>
      <c r="K75" s="336" t="s">
        <v>1196</v>
      </c>
      <c r="L75" s="336">
        <v>52</v>
      </c>
      <c r="M75" s="336"/>
      <c r="N75" s="338"/>
      <c r="O75" s="338"/>
      <c r="P75" s="336"/>
      <c r="Q75" s="336"/>
      <c r="R75" s="339"/>
      <c r="S75" s="339"/>
      <c r="T75" s="339"/>
      <c r="U75" s="953">
        <v>18750000</v>
      </c>
      <c r="V75" s="953">
        <f t="shared" si="6"/>
        <v>206250000</v>
      </c>
      <c r="W75" s="341">
        <v>25000000</v>
      </c>
      <c r="X75" s="341">
        <f t="shared" si="12"/>
        <v>500000000</v>
      </c>
      <c r="Y75" s="340">
        <v>3000000</v>
      </c>
      <c r="Z75" s="340">
        <v>25700000</v>
      </c>
      <c r="AA75" s="341"/>
      <c r="AB75" s="341"/>
      <c r="AC75" s="341"/>
      <c r="AD75" s="341"/>
      <c r="AE75" s="341"/>
      <c r="AF75" s="341" t="s">
        <v>1312</v>
      </c>
      <c r="AG75" s="953">
        <v>500000</v>
      </c>
      <c r="AH75" s="341">
        <v>21500000</v>
      </c>
      <c r="AI75" s="341">
        <v>47800000</v>
      </c>
      <c r="AJ75" s="341">
        <f t="shared" si="13"/>
        <v>73500000</v>
      </c>
      <c r="AK75" s="340">
        <v>15000000</v>
      </c>
      <c r="AL75" s="961"/>
      <c r="AM75" s="341" t="s">
        <v>1205</v>
      </c>
      <c r="AN75" s="341"/>
      <c r="AO75" s="341">
        <v>423293218</v>
      </c>
      <c r="AP75" s="342">
        <v>90466667</v>
      </c>
      <c r="AQ75" s="343">
        <f t="shared" si="10"/>
        <v>638700000</v>
      </c>
      <c r="AR75" s="343">
        <f t="shared" si="11"/>
        <v>1061993218</v>
      </c>
      <c r="AS75" s="344"/>
      <c r="AT75" s="336"/>
      <c r="AU75" s="336" t="s">
        <v>1199</v>
      </c>
      <c r="AV75" s="336"/>
    </row>
    <row r="76" spans="1:48" s="214" customFormat="1">
      <c r="A76" s="213"/>
      <c r="B76" s="335" t="s">
        <v>1313</v>
      </c>
      <c r="C76" s="336" t="s">
        <v>1257</v>
      </c>
      <c r="D76" s="336"/>
      <c r="E76" s="336"/>
      <c r="F76" s="336"/>
      <c r="G76" s="336"/>
      <c r="H76" s="337"/>
      <c r="I76" s="336"/>
      <c r="J76" s="336"/>
      <c r="K76" s="336" t="s">
        <v>1196</v>
      </c>
      <c r="L76" s="336">
        <v>42</v>
      </c>
      <c r="M76" s="336"/>
      <c r="N76" s="338"/>
      <c r="O76" s="338"/>
      <c r="P76" s="336"/>
      <c r="Q76" s="336"/>
      <c r="R76" s="339"/>
      <c r="S76" s="339"/>
      <c r="T76" s="339"/>
      <c r="U76" s="953">
        <v>18750000</v>
      </c>
      <c r="V76" s="953">
        <f t="shared" si="6"/>
        <v>206250000</v>
      </c>
      <c r="W76" s="341">
        <v>24000000</v>
      </c>
      <c r="X76" s="341">
        <f t="shared" si="12"/>
        <v>480000000</v>
      </c>
      <c r="Y76" s="340">
        <v>3000000</v>
      </c>
      <c r="Z76" s="340">
        <v>25000000</v>
      </c>
      <c r="AA76" s="341"/>
      <c r="AB76" s="341"/>
      <c r="AC76" s="341"/>
      <c r="AD76" s="341"/>
      <c r="AE76" s="341"/>
      <c r="AF76" s="341" t="s">
        <v>1314</v>
      </c>
      <c r="AG76" s="953">
        <v>650000</v>
      </c>
      <c r="AH76" s="341">
        <f>AG76*36</f>
        <v>23400000</v>
      </c>
      <c r="AI76" s="341">
        <v>49000000</v>
      </c>
      <c r="AJ76" s="341">
        <f t="shared" si="13"/>
        <v>74000000</v>
      </c>
      <c r="AK76" s="340">
        <v>15000000</v>
      </c>
      <c r="AL76" s="961"/>
      <c r="AM76" s="341" t="s">
        <v>1208</v>
      </c>
      <c r="AN76" s="341"/>
      <c r="AO76" s="341">
        <v>423293218</v>
      </c>
      <c r="AP76" s="342"/>
      <c r="AQ76" s="343"/>
      <c r="AR76" s="343"/>
      <c r="AS76" s="344"/>
      <c r="AT76" s="336"/>
      <c r="AU76" s="336"/>
      <c r="AV76" s="336"/>
    </row>
    <row r="77" spans="1:48" s="214" customFormat="1">
      <c r="A77" s="213"/>
      <c r="B77" s="335" t="s">
        <v>1315</v>
      </c>
      <c r="C77" s="336" t="s">
        <v>1257</v>
      </c>
      <c r="D77" s="336"/>
      <c r="E77" s="336"/>
      <c r="F77" s="336"/>
      <c r="G77" s="336"/>
      <c r="H77" s="337"/>
      <c r="I77" s="336"/>
      <c r="J77" s="336"/>
      <c r="K77" s="336" t="s">
        <v>1196</v>
      </c>
      <c r="L77" s="336">
        <v>42</v>
      </c>
      <c r="M77" s="336"/>
      <c r="N77" s="338"/>
      <c r="O77" s="338"/>
      <c r="P77" s="336"/>
      <c r="Q77" s="336"/>
      <c r="R77" s="339"/>
      <c r="S77" s="339"/>
      <c r="T77" s="339"/>
      <c r="U77" s="953">
        <v>18750000</v>
      </c>
      <c r="V77" s="953">
        <f t="shared" si="6"/>
        <v>206250000</v>
      </c>
      <c r="W77" s="341">
        <v>17000000</v>
      </c>
      <c r="X77" s="341">
        <f t="shared" si="12"/>
        <v>340000000</v>
      </c>
      <c r="Y77" s="340">
        <v>3000000</v>
      </c>
      <c r="Z77" s="340">
        <v>25000000</v>
      </c>
      <c r="AA77" s="341"/>
      <c r="AB77" s="341"/>
      <c r="AC77" s="341"/>
      <c r="AD77" s="341"/>
      <c r="AE77" s="341"/>
      <c r="AF77" s="341" t="s">
        <v>1316</v>
      </c>
      <c r="AG77" s="954" t="s">
        <v>1218</v>
      </c>
      <c r="AH77" s="341">
        <v>25500000</v>
      </c>
      <c r="AI77" s="341">
        <v>47500000</v>
      </c>
      <c r="AJ77" s="341">
        <f t="shared" si="13"/>
        <v>72500000</v>
      </c>
      <c r="AK77" s="340">
        <v>15000000</v>
      </c>
      <c r="AL77" s="961"/>
      <c r="AM77" s="341" t="s">
        <v>1208</v>
      </c>
      <c r="AN77" s="341"/>
      <c r="AO77" s="341">
        <v>353505181</v>
      </c>
      <c r="AP77" s="342"/>
      <c r="AQ77" s="343"/>
      <c r="AR77" s="343"/>
      <c r="AS77" s="344"/>
      <c r="AT77" s="336"/>
      <c r="AU77" s="336"/>
      <c r="AV77" s="336"/>
    </row>
    <row r="78" spans="1:48" s="214" customFormat="1">
      <c r="A78" s="213"/>
      <c r="B78" s="335" t="s">
        <v>1317</v>
      </c>
      <c r="C78" s="336" t="s">
        <v>1257</v>
      </c>
      <c r="D78" s="336"/>
      <c r="E78" s="336"/>
      <c r="F78" s="336"/>
      <c r="G78" s="336"/>
      <c r="H78" s="337"/>
      <c r="I78" s="336"/>
      <c r="J78" s="336"/>
      <c r="K78" s="336" t="s">
        <v>1196</v>
      </c>
      <c r="L78" s="336">
        <v>42</v>
      </c>
      <c r="M78" s="336"/>
      <c r="N78" s="338"/>
      <c r="O78" s="338"/>
      <c r="P78" s="336"/>
      <c r="Q78" s="336"/>
      <c r="R78" s="339"/>
      <c r="S78" s="339"/>
      <c r="T78" s="339"/>
      <c r="U78" s="953">
        <v>18750000</v>
      </c>
      <c r="V78" s="953">
        <f t="shared" si="6"/>
        <v>206250000</v>
      </c>
      <c r="W78" s="341">
        <v>22500000</v>
      </c>
      <c r="X78" s="341">
        <f t="shared" si="12"/>
        <v>450000000</v>
      </c>
      <c r="Y78" s="340">
        <v>3000000</v>
      </c>
      <c r="Z78" s="340">
        <v>25000000</v>
      </c>
      <c r="AA78" s="341"/>
      <c r="AB78" s="341"/>
      <c r="AC78" s="341"/>
      <c r="AD78" s="341"/>
      <c r="AE78" s="341"/>
      <c r="AF78" s="341" t="s">
        <v>1278</v>
      </c>
      <c r="AG78" s="954" t="s">
        <v>1218</v>
      </c>
      <c r="AH78" s="341">
        <v>22000000</v>
      </c>
      <c r="AI78" s="341">
        <v>40000000</v>
      </c>
      <c r="AJ78" s="341">
        <f t="shared" si="13"/>
        <v>65000000</v>
      </c>
      <c r="AK78" s="340">
        <v>15000000</v>
      </c>
      <c r="AL78" s="961"/>
      <c r="AM78" s="341" t="s">
        <v>1208</v>
      </c>
      <c r="AN78" s="341"/>
      <c r="AO78" s="341">
        <v>353505181</v>
      </c>
      <c r="AP78" s="342"/>
      <c r="AQ78" s="343"/>
      <c r="AR78" s="343"/>
      <c r="AS78" s="344"/>
      <c r="AT78" s="336"/>
      <c r="AU78" s="336"/>
      <c r="AV78" s="336"/>
    </row>
    <row r="79" spans="1:48" s="214" customFormat="1">
      <c r="A79" s="213"/>
      <c r="B79" s="335" t="s">
        <v>1318</v>
      </c>
      <c r="C79" s="336" t="s">
        <v>1257</v>
      </c>
      <c r="D79" s="336"/>
      <c r="E79" s="336"/>
      <c r="F79" s="336"/>
      <c r="G79" s="336"/>
      <c r="H79" s="337"/>
      <c r="I79" s="336"/>
      <c r="J79" s="336"/>
      <c r="K79" s="336" t="s">
        <v>1196</v>
      </c>
      <c r="L79" s="336">
        <v>42</v>
      </c>
      <c r="M79" s="336"/>
      <c r="N79" s="338"/>
      <c r="O79" s="338"/>
      <c r="P79" s="336"/>
      <c r="Q79" s="336"/>
      <c r="R79" s="339"/>
      <c r="S79" s="339"/>
      <c r="T79" s="339"/>
      <c r="U79" s="953">
        <v>18750000</v>
      </c>
      <c r="V79" s="953">
        <f t="shared" si="6"/>
        <v>206250000</v>
      </c>
      <c r="W79" s="341">
        <v>18000000</v>
      </c>
      <c r="X79" s="341">
        <f t="shared" si="12"/>
        <v>360000000</v>
      </c>
      <c r="Y79" s="340">
        <v>3000000</v>
      </c>
      <c r="Z79" s="340">
        <v>25000000</v>
      </c>
      <c r="AA79" s="341"/>
      <c r="AB79" s="341"/>
      <c r="AC79" s="341"/>
      <c r="AD79" s="341"/>
      <c r="AE79" s="341"/>
      <c r="AF79" s="341" t="s">
        <v>1217</v>
      </c>
      <c r="AG79" s="954">
        <v>800000</v>
      </c>
      <c r="AH79" s="341">
        <f>AG79*22</f>
        <v>17600000</v>
      </c>
      <c r="AI79" s="341">
        <v>47400000</v>
      </c>
      <c r="AJ79" s="341">
        <f t="shared" si="13"/>
        <v>72400000</v>
      </c>
      <c r="AK79" s="340">
        <v>15000000</v>
      </c>
      <c r="AL79" s="961"/>
      <c r="AM79" s="341" t="s">
        <v>1208</v>
      </c>
      <c r="AN79" s="341"/>
      <c r="AO79" s="341">
        <v>353505181</v>
      </c>
      <c r="AP79" s="342"/>
      <c r="AQ79" s="343"/>
      <c r="AR79" s="343"/>
      <c r="AS79" s="344"/>
      <c r="AT79" s="336"/>
      <c r="AU79" s="336"/>
      <c r="AV79" s="336"/>
    </row>
    <row r="80" spans="1:48" s="214" customFormat="1">
      <c r="A80" s="213"/>
      <c r="B80" s="335" t="s">
        <v>1319</v>
      </c>
      <c r="C80" s="336" t="s">
        <v>1257</v>
      </c>
      <c r="D80" s="336"/>
      <c r="E80" s="336"/>
      <c r="F80" s="336"/>
      <c r="G80" s="336"/>
      <c r="H80" s="337"/>
      <c r="I80" s="336"/>
      <c r="J80" s="336"/>
      <c r="K80" s="336" t="s">
        <v>1196</v>
      </c>
      <c r="L80" s="336">
        <v>52</v>
      </c>
      <c r="M80" s="336"/>
      <c r="N80" s="338"/>
      <c r="O80" s="338"/>
      <c r="P80" s="336"/>
      <c r="Q80" s="336"/>
      <c r="R80" s="339"/>
      <c r="S80" s="339"/>
      <c r="T80" s="339"/>
      <c r="U80" s="953">
        <v>18750000</v>
      </c>
      <c r="V80" s="953">
        <f t="shared" si="6"/>
        <v>206250000</v>
      </c>
      <c r="W80" s="341">
        <v>20000000</v>
      </c>
      <c r="X80" s="341">
        <f t="shared" si="12"/>
        <v>400000000</v>
      </c>
      <c r="Y80" s="340">
        <v>3000000</v>
      </c>
      <c r="Z80" s="340">
        <v>25000000</v>
      </c>
      <c r="AA80" s="341"/>
      <c r="AB80" s="341"/>
      <c r="AC80" s="341"/>
      <c r="AD80" s="341"/>
      <c r="AE80" s="341"/>
      <c r="AF80" s="341" t="s">
        <v>1314</v>
      </c>
      <c r="AG80" s="954" t="s">
        <v>1218</v>
      </c>
      <c r="AH80" s="341">
        <v>15600000</v>
      </c>
      <c r="AI80" s="341">
        <v>50000000</v>
      </c>
      <c r="AJ80" s="341">
        <f t="shared" si="13"/>
        <v>75000000</v>
      </c>
      <c r="AK80" s="340">
        <v>15000000</v>
      </c>
      <c r="AL80" s="961"/>
      <c r="AM80" s="341" t="s">
        <v>1205</v>
      </c>
      <c r="AN80" s="341"/>
      <c r="AO80" s="341">
        <v>423293218</v>
      </c>
      <c r="AP80" s="342"/>
      <c r="AQ80" s="343"/>
      <c r="AR80" s="343"/>
      <c r="AS80" s="344"/>
      <c r="AT80" s="336"/>
      <c r="AU80" s="336"/>
      <c r="AV80" s="336"/>
    </row>
    <row r="81" spans="1:48" s="214" customFormat="1">
      <c r="A81" s="213"/>
      <c r="B81" s="335" t="s">
        <v>1320</v>
      </c>
      <c r="C81" s="336" t="s">
        <v>1257</v>
      </c>
      <c r="D81" s="336"/>
      <c r="E81" s="336"/>
      <c r="F81" s="336"/>
      <c r="G81" s="336"/>
      <c r="H81" s="337"/>
      <c r="I81" s="336"/>
      <c r="J81" s="336"/>
      <c r="K81" s="336" t="s">
        <v>1196</v>
      </c>
      <c r="L81" s="336">
        <v>52</v>
      </c>
      <c r="M81" s="336"/>
      <c r="N81" s="338"/>
      <c r="O81" s="338"/>
      <c r="P81" s="336"/>
      <c r="Q81" s="336"/>
      <c r="R81" s="339"/>
      <c r="S81" s="339"/>
      <c r="T81" s="339"/>
      <c r="U81" s="953">
        <v>18750000</v>
      </c>
      <c r="V81" s="953">
        <f t="shared" si="6"/>
        <v>206250000</v>
      </c>
      <c r="W81" s="341">
        <v>19000000</v>
      </c>
      <c r="X81" s="341">
        <f t="shared" si="12"/>
        <v>380000000</v>
      </c>
      <c r="Y81" s="340">
        <v>3000000</v>
      </c>
      <c r="Z81" s="340">
        <v>25000000</v>
      </c>
      <c r="AA81" s="341"/>
      <c r="AB81" s="341"/>
      <c r="AC81" s="341"/>
      <c r="AD81" s="341"/>
      <c r="AE81" s="341"/>
      <c r="AF81" s="341" t="s">
        <v>1278</v>
      </c>
      <c r="AG81" s="954" t="s">
        <v>1218</v>
      </c>
      <c r="AH81" s="341">
        <v>7500000</v>
      </c>
      <c r="AI81" s="341">
        <v>51500000</v>
      </c>
      <c r="AJ81" s="341">
        <f t="shared" si="13"/>
        <v>76500000</v>
      </c>
      <c r="AK81" s="340">
        <v>15000000</v>
      </c>
      <c r="AL81" s="961"/>
      <c r="AM81" s="341" t="s">
        <v>1205</v>
      </c>
      <c r="AN81" s="341"/>
      <c r="AO81" s="341">
        <v>423293218</v>
      </c>
      <c r="AP81" s="342"/>
      <c r="AQ81" s="343"/>
      <c r="AR81" s="343"/>
      <c r="AS81" s="344"/>
      <c r="AT81" s="336"/>
      <c r="AU81" s="336"/>
      <c r="AV81" s="336"/>
    </row>
    <row r="82" spans="1:48" s="214" customFormat="1">
      <c r="A82" s="213"/>
      <c r="B82" s="348" t="s">
        <v>1321</v>
      </c>
      <c r="C82" s="336" t="s">
        <v>1257</v>
      </c>
      <c r="D82" s="336"/>
      <c r="E82" s="336"/>
      <c r="F82" s="336"/>
      <c r="G82" s="336"/>
      <c r="H82" s="337"/>
      <c r="I82" s="336"/>
      <c r="J82" s="336"/>
      <c r="K82" s="336" t="s">
        <v>1196</v>
      </c>
      <c r="L82" s="336">
        <v>52</v>
      </c>
      <c r="M82" s="336"/>
      <c r="N82" s="338"/>
      <c r="O82" s="338"/>
      <c r="P82" s="336"/>
      <c r="Q82" s="336"/>
      <c r="R82" s="339"/>
      <c r="S82" s="339"/>
      <c r="T82" s="339"/>
      <c r="U82" s="953">
        <v>18750000</v>
      </c>
      <c r="V82" s="953">
        <f t="shared" si="6"/>
        <v>206250000</v>
      </c>
      <c r="W82" s="341">
        <v>20000000</v>
      </c>
      <c r="X82" s="341">
        <f t="shared" si="12"/>
        <v>400000000</v>
      </c>
      <c r="Y82" s="340">
        <v>3000000</v>
      </c>
      <c r="Z82" s="340">
        <v>25000000</v>
      </c>
      <c r="AA82" s="341"/>
      <c r="AB82" s="341"/>
      <c r="AC82" s="341"/>
      <c r="AD82" s="341"/>
      <c r="AE82" s="341"/>
      <c r="AF82" s="341" t="s">
        <v>1322</v>
      </c>
      <c r="AG82" s="954" t="s">
        <v>1218</v>
      </c>
      <c r="AH82" s="341"/>
      <c r="AI82" s="341"/>
      <c r="AJ82" s="341">
        <f t="shared" si="13"/>
        <v>25000000</v>
      </c>
      <c r="AK82" s="340"/>
      <c r="AL82" s="961"/>
      <c r="AM82" s="341"/>
      <c r="AN82" s="341"/>
      <c r="AO82" s="341"/>
      <c r="AP82" s="342"/>
      <c r="AQ82" s="343"/>
      <c r="AR82" s="343"/>
      <c r="AS82" s="344"/>
      <c r="AT82" s="336"/>
      <c r="AU82" s="336"/>
      <c r="AV82" s="336"/>
    </row>
    <row r="83" spans="1:48" s="214" customFormat="1">
      <c r="A83" s="213"/>
      <c r="B83" s="348" t="s">
        <v>1323</v>
      </c>
      <c r="C83" s="336" t="s">
        <v>1257</v>
      </c>
      <c r="D83" s="336"/>
      <c r="E83" s="336"/>
      <c r="F83" s="336"/>
      <c r="G83" s="336"/>
      <c r="H83" s="337"/>
      <c r="I83" s="336"/>
      <c r="J83" s="336"/>
      <c r="K83" s="336" t="s">
        <v>1196</v>
      </c>
      <c r="L83" s="336">
        <v>42</v>
      </c>
      <c r="M83" s="336"/>
      <c r="N83" s="338"/>
      <c r="O83" s="338"/>
      <c r="P83" s="336"/>
      <c r="Q83" s="336"/>
      <c r="R83" s="339"/>
      <c r="S83" s="339"/>
      <c r="T83" s="339"/>
      <c r="U83" s="953">
        <v>18750000</v>
      </c>
      <c r="V83" s="953">
        <f t="shared" si="6"/>
        <v>206250000</v>
      </c>
      <c r="W83" s="341">
        <v>19000000</v>
      </c>
      <c r="X83" s="341">
        <f t="shared" si="12"/>
        <v>380000000</v>
      </c>
      <c r="Y83" s="340">
        <v>3000000</v>
      </c>
      <c r="Z83" s="340">
        <v>25000000</v>
      </c>
      <c r="AA83" s="341"/>
      <c r="AB83" s="341"/>
      <c r="AC83" s="341"/>
      <c r="AD83" s="341"/>
      <c r="AE83" s="341"/>
      <c r="AF83" s="341" t="s">
        <v>1324</v>
      </c>
      <c r="AG83" s="954">
        <v>300000</v>
      </c>
      <c r="AH83" s="341">
        <f>AG83*43</f>
        <v>12900000</v>
      </c>
      <c r="AI83" s="341">
        <v>52000000</v>
      </c>
      <c r="AJ83" s="341">
        <f t="shared" si="13"/>
        <v>77000000</v>
      </c>
      <c r="AK83" s="340">
        <v>15000000</v>
      </c>
      <c r="AL83" s="961"/>
      <c r="AM83" s="341" t="s">
        <v>1208</v>
      </c>
      <c r="AN83" s="341"/>
      <c r="AO83" s="341">
        <v>353505181</v>
      </c>
      <c r="AP83" s="342"/>
      <c r="AQ83" s="343"/>
      <c r="AR83" s="343"/>
      <c r="AS83" s="344"/>
      <c r="AT83" s="336"/>
      <c r="AU83" s="336"/>
      <c r="AV83" s="336"/>
    </row>
    <row r="84" spans="1:48" s="214" customFormat="1">
      <c r="A84" s="213"/>
      <c r="B84" s="348" t="s">
        <v>1325</v>
      </c>
      <c r="C84" s="336" t="s">
        <v>1257</v>
      </c>
      <c r="D84" s="336"/>
      <c r="E84" s="336"/>
      <c r="F84" s="336"/>
      <c r="G84" s="336"/>
      <c r="H84" s="337"/>
      <c r="I84" s="336"/>
      <c r="J84" s="336"/>
      <c r="K84" s="336" t="s">
        <v>1196</v>
      </c>
      <c r="L84" s="336">
        <v>52</v>
      </c>
      <c r="M84" s="336"/>
      <c r="N84" s="338"/>
      <c r="O84" s="338"/>
      <c r="P84" s="336"/>
      <c r="Q84" s="336"/>
      <c r="R84" s="339"/>
      <c r="S84" s="339"/>
      <c r="T84" s="339"/>
      <c r="U84" s="953">
        <v>18750000</v>
      </c>
      <c r="V84" s="953">
        <f t="shared" si="6"/>
        <v>206250000</v>
      </c>
      <c r="W84" s="341">
        <v>40000000</v>
      </c>
      <c r="X84" s="341">
        <f>W84*10</f>
        <v>400000000</v>
      </c>
      <c r="Y84" s="340">
        <v>3000000</v>
      </c>
      <c r="Z84" s="340">
        <v>25000000</v>
      </c>
      <c r="AA84" s="341"/>
      <c r="AB84" s="341"/>
      <c r="AC84" s="341"/>
      <c r="AD84" s="341"/>
      <c r="AE84" s="341"/>
      <c r="AF84" s="345" t="s">
        <v>1218</v>
      </c>
      <c r="AG84" s="954" t="s">
        <v>1218</v>
      </c>
      <c r="AH84" s="341">
        <v>0</v>
      </c>
      <c r="AI84" s="341">
        <v>70000000</v>
      </c>
      <c r="AJ84" s="341">
        <f t="shared" si="13"/>
        <v>95000000</v>
      </c>
      <c r="AK84" s="349">
        <v>0</v>
      </c>
      <c r="AL84" s="962"/>
      <c r="AM84" s="341" t="s">
        <v>1011</v>
      </c>
      <c r="AN84" s="341"/>
      <c r="AO84" s="341">
        <v>423293218</v>
      </c>
      <c r="AP84" s="342"/>
      <c r="AQ84" s="343"/>
      <c r="AR84" s="343"/>
      <c r="AS84" s="344"/>
      <c r="AT84" s="336"/>
      <c r="AU84" s="336"/>
      <c r="AV84" s="336"/>
    </row>
    <row r="85" spans="1:48" s="214" customFormat="1">
      <c r="A85" s="213"/>
      <c r="B85" s="348" t="s">
        <v>1326</v>
      </c>
      <c r="C85" s="336" t="s">
        <v>1257</v>
      </c>
      <c r="D85" s="336"/>
      <c r="E85" s="336"/>
      <c r="F85" s="336"/>
      <c r="G85" s="336"/>
      <c r="H85" s="337"/>
      <c r="I85" s="336"/>
      <c r="J85" s="336"/>
      <c r="K85" s="336" t="s">
        <v>1196</v>
      </c>
      <c r="L85" s="336">
        <v>52</v>
      </c>
      <c r="M85" s="336"/>
      <c r="N85" s="338"/>
      <c r="O85" s="338"/>
      <c r="P85" s="336"/>
      <c r="Q85" s="336"/>
      <c r="R85" s="339"/>
      <c r="S85" s="339"/>
      <c r="T85" s="339"/>
      <c r="U85" s="953">
        <v>18750000</v>
      </c>
      <c r="V85" s="953">
        <f t="shared" si="6"/>
        <v>206250000</v>
      </c>
      <c r="W85" s="341">
        <v>19000000</v>
      </c>
      <c r="X85" s="341">
        <f>W85*10</f>
        <v>190000000</v>
      </c>
      <c r="Y85" s="340">
        <v>3000000</v>
      </c>
      <c r="Z85" s="340">
        <v>25000000</v>
      </c>
      <c r="AA85" s="341"/>
      <c r="AB85" s="341"/>
      <c r="AC85" s="341"/>
      <c r="AD85" s="341"/>
      <c r="AE85" s="341"/>
      <c r="AF85" s="345" t="s">
        <v>1236</v>
      </c>
      <c r="AG85" s="954" t="s">
        <v>1218</v>
      </c>
      <c r="AH85" s="341">
        <v>26500000</v>
      </c>
      <c r="AI85" s="341">
        <v>45000000</v>
      </c>
      <c r="AJ85" s="341">
        <f t="shared" si="13"/>
        <v>70000000</v>
      </c>
      <c r="AK85" s="349">
        <v>15000000</v>
      </c>
      <c r="AL85" s="962"/>
      <c r="AM85" s="341" t="s">
        <v>1011</v>
      </c>
      <c r="AN85" s="341"/>
      <c r="AO85" s="341">
        <v>423293218</v>
      </c>
      <c r="AP85" s="342"/>
      <c r="AQ85" s="343"/>
      <c r="AR85" s="343"/>
      <c r="AS85" s="344"/>
      <c r="AT85" s="336"/>
      <c r="AU85" s="336"/>
      <c r="AV85" s="336"/>
    </row>
    <row r="86" spans="1:48" s="214" customFormat="1">
      <c r="A86" s="213"/>
      <c r="B86" s="348" t="s">
        <v>1327</v>
      </c>
      <c r="C86" s="336" t="s">
        <v>1257</v>
      </c>
      <c r="D86" s="336"/>
      <c r="E86" s="336"/>
      <c r="F86" s="336"/>
      <c r="G86" s="336"/>
      <c r="H86" s="337"/>
      <c r="I86" s="336"/>
      <c r="J86" s="336"/>
      <c r="K86" s="336" t="s">
        <v>1196</v>
      </c>
      <c r="L86" s="336">
        <v>52</v>
      </c>
      <c r="M86" s="336"/>
      <c r="N86" s="338"/>
      <c r="O86" s="338"/>
      <c r="P86" s="336"/>
      <c r="Q86" s="336"/>
      <c r="R86" s="339"/>
      <c r="S86" s="339"/>
      <c r="T86" s="339"/>
      <c r="U86" s="953">
        <v>18750000</v>
      </c>
      <c r="V86" s="953">
        <f>U86*11</f>
        <v>206250000</v>
      </c>
      <c r="W86" s="341">
        <v>20000000</v>
      </c>
      <c r="X86" s="341">
        <f t="shared" si="12"/>
        <v>400000000</v>
      </c>
      <c r="Y86" s="340">
        <v>3000000</v>
      </c>
      <c r="Z86" s="340">
        <v>25000000</v>
      </c>
      <c r="AA86" s="341"/>
      <c r="AB86" s="341"/>
      <c r="AC86" s="341"/>
      <c r="AD86" s="341"/>
      <c r="AE86" s="341"/>
      <c r="AF86" s="345" t="s">
        <v>1322</v>
      </c>
      <c r="AG86" s="954" t="s">
        <v>1218</v>
      </c>
      <c r="AH86" s="341">
        <v>20500000</v>
      </c>
      <c r="AI86" s="341">
        <v>49500000</v>
      </c>
      <c r="AJ86" s="341">
        <f t="shared" si="13"/>
        <v>74500000</v>
      </c>
      <c r="AK86" s="349">
        <v>15000000</v>
      </c>
      <c r="AL86" s="962"/>
      <c r="AM86" s="341" t="s">
        <v>1011</v>
      </c>
      <c r="AN86" s="341"/>
      <c r="AO86" s="341">
        <v>423293218</v>
      </c>
      <c r="AP86" s="342"/>
      <c r="AQ86" s="343"/>
      <c r="AR86" s="343"/>
      <c r="AS86" s="344"/>
      <c r="AT86" s="336"/>
      <c r="AU86" s="336"/>
      <c r="AV86" s="336"/>
    </row>
    <row r="87" spans="1:48" s="214" customFormat="1">
      <c r="A87" s="213"/>
      <c r="B87" s="335" t="s">
        <v>3071</v>
      </c>
      <c r="C87" s="336" t="s">
        <v>1328</v>
      </c>
      <c r="D87" s="336"/>
      <c r="E87" s="336"/>
      <c r="F87" s="336"/>
      <c r="G87" s="336"/>
      <c r="H87" s="337"/>
      <c r="I87" s="336"/>
      <c r="J87" s="336"/>
      <c r="K87" s="336" t="s">
        <v>1196</v>
      </c>
      <c r="L87" s="336">
        <v>42</v>
      </c>
      <c r="M87" s="336"/>
      <c r="N87" s="338"/>
      <c r="O87" s="338"/>
      <c r="P87" s="336"/>
      <c r="Q87" s="336"/>
      <c r="R87" s="339"/>
      <c r="S87" s="339"/>
      <c r="T87" s="339"/>
      <c r="U87" s="953">
        <v>18750000</v>
      </c>
      <c r="V87" s="953">
        <f t="shared" si="6"/>
        <v>206250000</v>
      </c>
      <c r="W87" s="341">
        <v>23000000</v>
      </c>
      <c r="X87" s="341">
        <f t="shared" si="12"/>
        <v>460000000</v>
      </c>
      <c r="Y87" s="340">
        <v>3000000</v>
      </c>
      <c r="Z87" s="340">
        <v>25000000</v>
      </c>
      <c r="AA87" s="341"/>
      <c r="AB87" s="341"/>
      <c r="AC87" s="341"/>
      <c r="AD87" s="341"/>
      <c r="AE87" s="341"/>
      <c r="AF87" s="341" t="s">
        <v>1329</v>
      </c>
      <c r="AG87" s="954" t="s">
        <v>1218</v>
      </c>
      <c r="AH87" s="341">
        <v>13400000</v>
      </c>
      <c r="AI87" s="341">
        <v>48000000</v>
      </c>
      <c r="AJ87" s="341">
        <f t="shared" si="13"/>
        <v>73000000</v>
      </c>
      <c r="AK87" s="340">
        <v>15000000</v>
      </c>
      <c r="AL87" s="961"/>
      <c r="AM87" s="341" t="s">
        <v>1208</v>
      </c>
      <c r="AN87" s="341"/>
      <c r="AO87" s="341">
        <v>423293218</v>
      </c>
      <c r="AP87" s="342"/>
      <c r="AQ87" s="343"/>
      <c r="AR87" s="343"/>
      <c r="AS87" s="344"/>
      <c r="AT87" s="336"/>
      <c r="AU87" s="336"/>
      <c r="AV87" s="336"/>
    </row>
    <row r="88" spans="1:48" s="214" customFormat="1">
      <c r="A88" s="213"/>
      <c r="B88" s="335" t="s">
        <v>1330</v>
      </c>
      <c r="C88" s="336" t="s">
        <v>12</v>
      </c>
      <c r="D88" s="336"/>
      <c r="E88" s="336"/>
      <c r="F88" s="336"/>
      <c r="G88" s="336"/>
      <c r="H88" s="337"/>
      <c r="I88" s="336"/>
      <c r="J88" s="336"/>
      <c r="K88" s="336" t="s">
        <v>1196</v>
      </c>
      <c r="L88" s="336">
        <v>42</v>
      </c>
      <c r="M88" s="336"/>
      <c r="N88" s="338"/>
      <c r="O88" s="338"/>
      <c r="P88" s="336"/>
      <c r="Q88" s="336"/>
      <c r="R88" s="339"/>
      <c r="S88" s="339"/>
      <c r="T88" s="339"/>
      <c r="U88" s="953">
        <v>18750000</v>
      </c>
      <c r="V88" s="953">
        <f t="shared" si="6"/>
        <v>206250000</v>
      </c>
      <c r="W88" s="341">
        <v>20000000</v>
      </c>
      <c r="X88" s="341">
        <f t="shared" si="12"/>
        <v>400000000</v>
      </c>
      <c r="Y88" s="340">
        <v>3000000</v>
      </c>
      <c r="Z88" s="340">
        <v>25000000</v>
      </c>
      <c r="AA88" s="341"/>
      <c r="AB88" s="341"/>
      <c r="AC88" s="341"/>
      <c r="AD88" s="341"/>
      <c r="AE88" s="341"/>
      <c r="AF88" s="341" t="s">
        <v>1234</v>
      </c>
      <c r="AG88" s="954" t="s">
        <v>1218</v>
      </c>
      <c r="AH88" s="341">
        <v>18000000</v>
      </c>
      <c r="AI88" s="341">
        <v>52000000</v>
      </c>
      <c r="AJ88" s="341">
        <f t="shared" si="13"/>
        <v>77000000</v>
      </c>
      <c r="AK88" s="340">
        <v>15000000</v>
      </c>
      <c r="AL88" s="961"/>
      <c r="AM88" s="341" t="s">
        <v>1208</v>
      </c>
      <c r="AN88" s="341"/>
      <c r="AO88" s="341">
        <v>423293218</v>
      </c>
      <c r="AP88" s="342"/>
      <c r="AQ88" s="343"/>
      <c r="AR88" s="343"/>
      <c r="AS88" s="344"/>
      <c r="AT88" s="336"/>
      <c r="AU88" s="336"/>
      <c r="AV88" s="336"/>
    </row>
    <row r="89" spans="1:48" s="214" customFormat="1">
      <c r="A89" s="213"/>
      <c r="B89" s="335" t="s">
        <v>9</v>
      </c>
      <c r="C89" s="336" t="s">
        <v>12</v>
      </c>
      <c r="D89" s="336"/>
      <c r="E89" s="336"/>
      <c r="F89" s="336"/>
      <c r="G89" s="336"/>
      <c r="H89" s="337"/>
      <c r="I89" s="336"/>
      <c r="J89" s="336"/>
      <c r="K89" s="336" t="s">
        <v>1196</v>
      </c>
      <c r="L89" s="336">
        <v>72</v>
      </c>
      <c r="M89" s="336"/>
      <c r="N89" s="338"/>
      <c r="O89" s="338"/>
      <c r="P89" s="336"/>
      <c r="Q89" s="336"/>
      <c r="R89" s="339"/>
      <c r="S89" s="339"/>
      <c r="T89" s="339"/>
      <c r="U89" s="953">
        <v>18750000</v>
      </c>
      <c r="V89" s="953">
        <f t="shared" si="6"/>
        <v>206250000</v>
      </c>
      <c r="W89" s="341">
        <v>25000000</v>
      </c>
      <c r="X89" s="341">
        <f t="shared" si="12"/>
        <v>500000000</v>
      </c>
      <c r="Y89" s="340">
        <v>3000000</v>
      </c>
      <c r="Z89" s="340">
        <v>25000000</v>
      </c>
      <c r="AA89" s="341"/>
      <c r="AB89" s="341"/>
      <c r="AC89" s="341"/>
      <c r="AD89" s="341"/>
      <c r="AE89" s="341"/>
      <c r="AF89" s="341" t="s">
        <v>1264</v>
      </c>
      <c r="AG89" s="954" t="s">
        <v>1218</v>
      </c>
      <c r="AH89" s="341">
        <v>11500000</v>
      </c>
      <c r="AI89" s="341">
        <v>56500000</v>
      </c>
      <c r="AJ89" s="341">
        <f t="shared" si="13"/>
        <v>81500000</v>
      </c>
      <c r="AK89" s="340">
        <v>15000000</v>
      </c>
      <c r="AL89" s="961"/>
      <c r="AM89" s="341" t="s">
        <v>1331</v>
      </c>
      <c r="AN89" s="341"/>
      <c r="AO89" s="350" t="s">
        <v>1332</v>
      </c>
      <c r="AP89" s="342"/>
      <c r="AQ89" s="343"/>
      <c r="AR89" s="343"/>
      <c r="AS89" s="344"/>
      <c r="AT89" s="336"/>
      <c r="AU89" s="336"/>
      <c r="AV89" s="336"/>
    </row>
    <row r="90" spans="1:48" s="214" customFormat="1">
      <c r="A90" s="213"/>
      <c r="B90" s="335" t="s">
        <v>1333</v>
      </c>
      <c r="C90" s="336" t="s">
        <v>659</v>
      </c>
      <c r="D90" s="336"/>
      <c r="E90" s="336"/>
      <c r="F90" s="336"/>
      <c r="G90" s="336"/>
      <c r="H90" s="337"/>
      <c r="I90" s="336"/>
      <c r="J90" s="336"/>
      <c r="K90" s="336" t="s">
        <v>1196</v>
      </c>
      <c r="L90" s="336">
        <v>32</v>
      </c>
      <c r="M90" s="336"/>
      <c r="N90" s="338"/>
      <c r="O90" s="338"/>
      <c r="P90" s="336"/>
      <c r="Q90" s="336"/>
      <c r="R90" s="339"/>
      <c r="S90" s="339"/>
      <c r="T90" s="339"/>
      <c r="U90" s="953">
        <v>43750000</v>
      </c>
      <c r="V90" s="953">
        <f t="shared" si="6"/>
        <v>481250000</v>
      </c>
      <c r="W90" s="341">
        <v>30000000</v>
      </c>
      <c r="X90" s="341">
        <f>W90*11</f>
        <v>330000000</v>
      </c>
      <c r="Y90" s="340">
        <v>3000000</v>
      </c>
      <c r="Z90" s="340">
        <v>25700000</v>
      </c>
      <c r="AA90" s="341"/>
      <c r="AB90" s="341"/>
      <c r="AC90" s="341"/>
      <c r="AD90" s="341"/>
      <c r="AE90" s="341"/>
      <c r="AF90" s="341" t="s">
        <v>1334</v>
      </c>
      <c r="AG90" s="953"/>
      <c r="AH90" s="341">
        <v>6000000</v>
      </c>
      <c r="AI90" s="341">
        <v>44300000</v>
      </c>
      <c r="AJ90" s="341">
        <f t="shared" si="13"/>
        <v>70000000</v>
      </c>
      <c r="AK90" s="340">
        <v>15000000</v>
      </c>
      <c r="AL90" s="961"/>
      <c r="AM90" s="341" t="s">
        <v>1335</v>
      </c>
      <c r="AN90" s="341"/>
      <c r="AO90" s="341">
        <v>303505181</v>
      </c>
      <c r="AP90" s="342">
        <v>90466667</v>
      </c>
      <c r="AQ90" s="343">
        <f>AN90+AK90+AJ90+AH90+AA90+Z90+Y90+X90</f>
        <v>449700000</v>
      </c>
      <c r="AR90" s="343">
        <f>AQ90+AO90</f>
        <v>753205181</v>
      </c>
      <c r="AS90" s="344"/>
      <c r="AT90" s="336"/>
      <c r="AU90" s="336" t="s">
        <v>1199</v>
      </c>
      <c r="AV90" s="336"/>
    </row>
    <row r="91" spans="1:48" s="214" customFormat="1">
      <c r="A91" s="213"/>
      <c r="B91" s="335" t="s">
        <v>1336</v>
      </c>
      <c r="C91" s="336" t="s">
        <v>497</v>
      </c>
      <c r="D91" s="336"/>
      <c r="E91" s="336"/>
      <c r="F91" s="336"/>
      <c r="G91" s="336"/>
      <c r="H91" s="337"/>
      <c r="I91" s="336"/>
      <c r="J91" s="336"/>
      <c r="K91" s="336" t="s">
        <v>1196</v>
      </c>
      <c r="L91" s="336">
        <v>32</v>
      </c>
      <c r="M91" s="336"/>
      <c r="N91" s="338"/>
      <c r="O91" s="338"/>
      <c r="P91" s="336"/>
      <c r="Q91" s="336"/>
      <c r="R91" s="339"/>
      <c r="S91" s="339"/>
      <c r="T91" s="339"/>
      <c r="U91" s="953">
        <v>27272727</v>
      </c>
      <c r="V91" s="953">
        <f t="shared" si="6"/>
        <v>299999997</v>
      </c>
      <c r="W91" s="341">
        <v>20000000</v>
      </c>
      <c r="X91" s="341">
        <f>W91*11</f>
        <v>220000000</v>
      </c>
      <c r="Y91" s="340">
        <v>3000000</v>
      </c>
      <c r="Z91" s="340">
        <v>25700000</v>
      </c>
      <c r="AA91" s="341"/>
      <c r="AB91" s="341"/>
      <c r="AC91" s="341"/>
      <c r="AD91" s="341"/>
      <c r="AE91" s="341"/>
      <c r="AF91" s="341" t="s">
        <v>1204</v>
      </c>
      <c r="AG91" s="953">
        <v>500000</v>
      </c>
      <c r="AH91" s="341">
        <f>AG91*15</f>
        <v>7500000</v>
      </c>
      <c r="AI91" s="341">
        <v>31300000</v>
      </c>
      <c r="AJ91" s="341">
        <f t="shared" si="13"/>
        <v>57000000</v>
      </c>
      <c r="AK91" s="340">
        <v>15000000</v>
      </c>
      <c r="AL91" s="961"/>
      <c r="AM91" s="341" t="s">
        <v>1262</v>
      </c>
      <c r="AN91" s="341"/>
      <c r="AO91" s="341">
        <v>504809896</v>
      </c>
      <c r="AP91" s="342">
        <v>74000000</v>
      </c>
      <c r="AQ91" s="343">
        <f>AN91+AK91+AJ91+AH91+AA91+Z91+Y91+X91</f>
        <v>328200000</v>
      </c>
      <c r="AR91" s="343">
        <f>AQ91+AO91</f>
        <v>833009896</v>
      </c>
      <c r="AS91" s="344"/>
      <c r="AT91" s="336"/>
      <c r="AU91" s="336" t="s">
        <v>1199</v>
      </c>
      <c r="AV91" s="336"/>
    </row>
    <row r="92" spans="1:48" s="214" customFormat="1">
      <c r="A92" s="213"/>
      <c r="B92" s="335" t="s">
        <v>1337</v>
      </c>
      <c r="C92" s="336" t="s">
        <v>497</v>
      </c>
      <c r="D92" s="336"/>
      <c r="E92" s="336"/>
      <c r="F92" s="336"/>
      <c r="G92" s="336"/>
      <c r="H92" s="337"/>
      <c r="I92" s="336"/>
      <c r="J92" s="336"/>
      <c r="K92" s="336" t="s">
        <v>1196</v>
      </c>
      <c r="L92" s="336">
        <v>32</v>
      </c>
      <c r="M92" s="336"/>
      <c r="N92" s="338"/>
      <c r="O92" s="338"/>
      <c r="P92" s="336"/>
      <c r="Q92" s="336"/>
      <c r="R92" s="339"/>
      <c r="S92" s="339"/>
      <c r="T92" s="339"/>
      <c r="U92" s="953">
        <v>27272727</v>
      </c>
      <c r="V92" s="953">
        <f t="shared" si="6"/>
        <v>299999997</v>
      </c>
      <c r="W92" s="341">
        <v>20000000</v>
      </c>
      <c r="X92" s="341">
        <f>W92*20</f>
        <v>400000000</v>
      </c>
      <c r="Y92" s="340">
        <v>3000000</v>
      </c>
      <c r="Z92" s="340">
        <v>25700000</v>
      </c>
      <c r="AA92" s="341"/>
      <c r="AB92" s="341"/>
      <c r="AC92" s="341"/>
      <c r="AD92" s="341"/>
      <c r="AE92" s="341"/>
      <c r="AF92" s="341" t="s">
        <v>1226</v>
      </c>
      <c r="AG92" s="953">
        <v>500000</v>
      </c>
      <c r="AH92" s="341">
        <f>AG92*8</f>
        <v>4000000</v>
      </c>
      <c r="AI92" s="341">
        <v>36300000</v>
      </c>
      <c r="AJ92" s="341">
        <f t="shared" si="13"/>
        <v>62000000</v>
      </c>
      <c r="AK92" s="340">
        <v>15000000</v>
      </c>
      <c r="AL92" s="961"/>
      <c r="AM92" s="341" t="s">
        <v>1258</v>
      </c>
      <c r="AN92" s="341"/>
      <c r="AO92" s="341">
        <v>433505181.050313</v>
      </c>
      <c r="AP92" s="342">
        <v>74000000</v>
      </c>
      <c r="AQ92" s="343">
        <f>AN92+AK92+AJ92+AH92+AA92+Z92+Y92+X92</f>
        <v>509700000</v>
      </c>
      <c r="AR92" s="343">
        <f>AQ92+AO92</f>
        <v>943205181.050313</v>
      </c>
      <c r="AS92" s="344"/>
      <c r="AT92" s="336"/>
      <c r="AU92" s="336" t="s">
        <v>1199</v>
      </c>
      <c r="AV92" s="336"/>
    </row>
    <row r="93" spans="1:48" s="214" customFormat="1">
      <c r="A93" s="213"/>
      <c r="B93" s="335" t="s">
        <v>1338</v>
      </c>
      <c r="C93" s="336" t="s">
        <v>497</v>
      </c>
      <c r="D93" s="336"/>
      <c r="E93" s="336"/>
      <c r="F93" s="336"/>
      <c r="G93" s="336"/>
      <c r="H93" s="337"/>
      <c r="I93" s="336"/>
      <c r="J93" s="336"/>
      <c r="K93" s="336" t="s">
        <v>1196</v>
      </c>
      <c r="L93" s="336">
        <v>32</v>
      </c>
      <c r="M93" s="336"/>
      <c r="N93" s="338"/>
      <c r="O93" s="338"/>
      <c r="P93" s="336"/>
      <c r="Q93" s="336"/>
      <c r="R93" s="339"/>
      <c r="S93" s="339"/>
      <c r="T93" s="339"/>
      <c r="U93" s="953">
        <v>27272727</v>
      </c>
      <c r="V93" s="953">
        <f t="shared" si="6"/>
        <v>299999997</v>
      </c>
      <c r="W93" s="341">
        <v>23000000</v>
      </c>
      <c r="X93" s="341">
        <f>W93*20</f>
        <v>460000000</v>
      </c>
      <c r="Y93" s="340">
        <v>3000000</v>
      </c>
      <c r="Z93" s="340">
        <v>25000000</v>
      </c>
      <c r="AA93" s="341"/>
      <c r="AB93" s="341"/>
      <c r="AC93" s="341"/>
      <c r="AD93" s="341"/>
      <c r="AE93" s="341"/>
      <c r="AF93" s="341" t="s">
        <v>1261</v>
      </c>
      <c r="AG93" s="953">
        <v>1000000</v>
      </c>
      <c r="AH93" s="341">
        <f>AG93*24</f>
        <v>24000000</v>
      </c>
      <c r="AI93" s="341">
        <v>23300000</v>
      </c>
      <c r="AJ93" s="341">
        <f t="shared" si="13"/>
        <v>48300000</v>
      </c>
      <c r="AK93" s="340">
        <v>15000000</v>
      </c>
      <c r="AL93" s="961"/>
      <c r="AM93" s="341" t="s">
        <v>1262</v>
      </c>
      <c r="AN93" s="341"/>
      <c r="AO93" s="341">
        <v>433505181.050313</v>
      </c>
      <c r="AP93" s="342">
        <v>74000000</v>
      </c>
      <c r="AQ93" s="343">
        <f>AN93+AK93+AJ93+AH93+AA93+Z93+Y93+X93</f>
        <v>575300000</v>
      </c>
      <c r="AR93" s="343">
        <f>AQ93+AO93</f>
        <v>1008805181.050313</v>
      </c>
      <c r="AS93" s="344"/>
      <c r="AT93" s="336"/>
      <c r="AU93" s="336" t="s">
        <v>1199</v>
      </c>
      <c r="AV93" s="336"/>
    </row>
    <row r="94" spans="1:48" s="214" customFormat="1">
      <c r="A94" s="213"/>
      <c r="B94" s="335" t="s">
        <v>1339</v>
      </c>
      <c r="C94" s="336" t="s">
        <v>497</v>
      </c>
      <c r="D94" s="336"/>
      <c r="E94" s="336"/>
      <c r="F94" s="336"/>
      <c r="G94" s="336"/>
      <c r="H94" s="337"/>
      <c r="I94" s="336"/>
      <c r="J94" s="336"/>
      <c r="K94" s="336" t="s">
        <v>1196</v>
      </c>
      <c r="L94" s="336">
        <v>32</v>
      </c>
      <c r="M94" s="336"/>
      <c r="N94" s="338"/>
      <c r="O94" s="338"/>
      <c r="P94" s="336"/>
      <c r="Q94" s="336"/>
      <c r="R94" s="339"/>
      <c r="S94" s="339"/>
      <c r="T94" s="339"/>
      <c r="U94" s="953">
        <v>27272727</v>
      </c>
      <c r="V94" s="953">
        <f t="shared" si="6"/>
        <v>299999997</v>
      </c>
      <c r="W94" s="341">
        <v>20000000</v>
      </c>
      <c r="X94" s="341">
        <f>W94*20</f>
        <v>400000000</v>
      </c>
      <c r="Y94" s="340">
        <v>3000000</v>
      </c>
      <c r="Z94" s="340">
        <v>25000000</v>
      </c>
      <c r="AA94" s="341"/>
      <c r="AB94" s="341"/>
      <c r="AC94" s="341"/>
      <c r="AD94" s="341"/>
      <c r="AE94" s="341"/>
      <c r="AF94" s="341" t="s">
        <v>1204</v>
      </c>
      <c r="AG94" s="953">
        <v>1000000</v>
      </c>
      <c r="AH94" s="341">
        <f>AG94*15</f>
        <v>15000000</v>
      </c>
      <c r="AI94" s="341">
        <v>30000000</v>
      </c>
      <c r="AJ94" s="341">
        <f t="shared" si="13"/>
        <v>55000000</v>
      </c>
      <c r="AK94" s="340">
        <v>15000000</v>
      </c>
      <c r="AL94" s="961"/>
      <c r="AM94" s="341" t="s">
        <v>1262</v>
      </c>
      <c r="AN94" s="341"/>
      <c r="AO94" s="341">
        <v>433505181.050313</v>
      </c>
      <c r="AP94" s="342"/>
      <c r="AQ94" s="343"/>
      <c r="AR94" s="343"/>
      <c r="AS94" s="344"/>
      <c r="AT94" s="336"/>
      <c r="AU94" s="336"/>
      <c r="AV94" s="336"/>
    </row>
    <row r="95" spans="1:48" s="214" customFormat="1">
      <c r="A95" s="213"/>
      <c r="B95" s="335" t="s">
        <v>1340</v>
      </c>
      <c r="C95" s="336" t="s">
        <v>497</v>
      </c>
      <c r="D95" s="336"/>
      <c r="E95" s="336"/>
      <c r="F95" s="336"/>
      <c r="G95" s="336"/>
      <c r="H95" s="337"/>
      <c r="I95" s="336"/>
      <c r="J95" s="336"/>
      <c r="K95" s="336" t="s">
        <v>1196</v>
      </c>
      <c r="L95" s="336">
        <v>32</v>
      </c>
      <c r="M95" s="336"/>
      <c r="N95" s="338"/>
      <c r="O95" s="338"/>
      <c r="P95" s="336"/>
      <c r="Q95" s="336"/>
      <c r="R95" s="339"/>
      <c r="S95" s="339"/>
      <c r="T95" s="339"/>
      <c r="U95" s="953">
        <v>27272727</v>
      </c>
      <c r="V95" s="953">
        <f t="shared" si="6"/>
        <v>299999997</v>
      </c>
      <c r="W95" s="341">
        <v>20000000</v>
      </c>
      <c r="X95" s="341">
        <f>W95*20</f>
        <v>400000000</v>
      </c>
      <c r="Y95" s="340">
        <v>3000000</v>
      </c>
      <c r="Z95" s="340">
        <v>25000000</v>
      </c>
      <c r="AA95" s="341"/>
      <c r="AB95" s="341"/>
      <c r="AC95" s="341"/>
      <c r="AD95" s="341"/>
      <c r="AE95" s="341"/>
      <c r="AF95" s="341" t="s">
        <v>1264</v>
      </c>
      <c r="AG95" s="953">
        <v>500000</v>
      </c>
      <c r="AH95" s="341">
        <f>AG95*29</f>
        <v>14500000</v>
      </c>
      <c r="AI95" s="341">
        <v>55000000</v>
      </c>
      <c r="AJ95" s="341">
        <f t="shared" si="13"/>
        <v>80000000</v>
      </c>
      <c r="AK95" s="340">
        <v>15000000</v>
      </c>
      <c r="AL95" s="961"/>
      <c r="AM95" s="341" t="s">
        <v>1262</v>
      </c>
      <c r="AN95" s="341"/>
      <c r="AO95" s="341">
        <v>433505181.050313</v>
      </c>
      <c r="AP95" s="342"/>
      <c r="AQ95" s="343"/>
      <c r="AR95" s="343"/>
      <c r="AS95" s="344"/>
      <c r="AT95" s="336"/>
      <c r="AU95" s="336"/>
      <c r="AV95" s="336"/>
    </row>
    <row r="96" spans="1:48" s="214" customFormat="1">
      <c r="A96" s="213"/>
      <c r="B96" s="335" t="s">
        <v>1341</v>
      </c>
      <c r="C96" s="336" t="s">
        <v>1195</v>
      </c>
      <c r="D96" s="336"/>
      <c r="E96" s="336"/>
      <c r="F96" s="336"/>
      <c r="G96" s="336"/>
      <c r="H96" s="337"/>
      <c r="I96" s="336"/>
      <c r="J96" s="336"/>
      <c r="K96" s="336" t="s">
        <v>1196</v>
      </c>
      <c r="L96" s="336">
        <v>42</v>
      </c>
      <c r="M96" s="336"/>
      <c r="N96" s="338"/>
      <c r="O96" s="338"/>
      <c r="P96" s="336"/>
      <c r="Q96" s="336"/>
      <c r="R96" s="339"/>
      <c r="S96" s="339"/>
      <c r="T96" s="339"/>
      <c r="U96" s="953">
        <v>21049242</v>
      </c>
      <c r="V96" s="953">
        <f t="shared" si="6"/>
        <v>231541662</v>
      </c>
      <c r="W96" s="341">
        <v>20000000</v>
      </c>
      <c r="X96" s="341">
        <f t="shared" ref="X96:X102" si="14">W96*11</f>
        <v>220000000</v>
      </c>
      <c r="Y96" s="340">
        <v>3000000</v>
      </c>
      <c r="Z96" s="340">
        <v>25000000</v>
      </c>
      <c r="AA96" s="341"/>
      <c r="AB96" s="341"/>
      <c r="AC96" s="341"/>
      <c r="AD96" s="341"/>
      <c r="AE96" s="341"/>
      <c r="AF96" s="341" t="s">
        <v>1197</v>
      </c>
      <c r="AG96" s="953">
        <v>500000</v>
      </c>
      <c r="AH96" s="341">
        <f>AG96*25</f>
        <v>12500000</v>
      </c>
      <c r="AI96" s="341">
        <v>29000000</v>
      </c>
      <c r="AJ96" s="341">
        <f t="shared" si="13"/>
        <v>54000000</v>
      </c>
      <c r="AK96" s="340">
        <v>15000000</v>
      </c>
      <c r="AL96" s="961"/>
      <c r="AM96" s="341" t="s">
        <v>1024</v>
      </c>
      <c r="AN96" s="341"/>
      <c r="AO96" s="341">
        <v>353505181</v>
      </c>
      <c r="AP96" s="342">
        <v>70733333</v>
      </c>
      <c r="AQ96" s="343">
        <f>AN96+AK96+AJ96+AH96+AA96+Z96+Y96+X96</f>
        <v>329500000</v>
      </c>
      <c r="AR96" s="343">
        <f>AQ96+AO96</f>
        <v>683005181</v>
      </c>
      <c r="AS96" s="344"/>
      <c r="AT96" s="336"/>
      <c r="AU96" s="336" t="s">
        <v>1199</v>
      </c>
      <c r="AV96" s="336"/>
    </row>
    <row r="97" spans="1:48" s="214" customFormat="1">
      <c r="A97" s="213"/>
      <c r="B97" s="335" t="s">
        <v>1342</v>
      </c>
      <c r="C97" s="336" t="s">
        <v>1195</v>
      </c>
      <c r="D97" s="336"/>
      <c r="E97" s="336"/>
      <c r="F97" s="336"/>
      <c r="G97" s="336"/>
      <c r="H97" s="337"/>
      <c r="I97" s="336"/>
      <c r="J97" s="336"/>
      <c r="K97" s="336" t="s">
        <v>1196</v>
      </c>
      <c r="L97" s="336">
        <v>42</v>
      </c>
      <c r="M97" s="336"/>
      <c r="N97" s="338"/>
      <c r="O97" s="338"/>
      <c r="P97" s="336"/>
      <c r="Q97" s="336"/>
      <c r="R97" s="339"/>
      <c r="S97" s="339"/>
      <c r="T97" s="339"/>
      <c r="U97" s="953">
        <v>21049242</v>
      </c>
      <c r="V97" s="953">
        <f t="shared" si="6"/>
        <v>231541662</v>
      </c>
      <c r="W97" s="341">
        <v>23000000</v>
      </c>
      <c r="X97" s="341">
        <f t="shared" si="14"/>
        <v>253000000</v>
      </c>
      <c r="Y97" s="340">
        <v>3000000</v>
      </c>
      <c r="Z97" s="340">
        <v>25000000</v>
      </c>
      <c r="AA97" s="341"/>
      <c r="AB97" s="341"/>
      <c r="AC97" s="341"/>
      <c r="AD97" s="341"/>
      <c r="AE97" s="341"/>
      <c r="AF97" s="341" t="s">
        <v>1240</v>
      </c>
      <c r="AG97" s="953">
        <v>500000</v>
      </c>
      <c r="AH97" s="341">
        <f>AG97*18</f>
        <v>9000000</v>
      </c>
      <c r="AI97" s="341">
        <v>35000000</v>
      </c>
      <c r="AJ97" s="341">
        <f t="shared" si="13"/>
        <v>60000000</v>
      </c>
      <c r="AK97" s="340">
        <v>15000000</v>
      </c>
      <c r="AL97" s="961"/>
      <c r="AM97" s="341" t="s">
        <v>1024</v>
      </c>
      <c r="AN97" s="341"/>
      <c r="AO97" s="341">
        <v>353505181</v>
      </c>
      <c r="AP97" s="342">
        <v>70733333</v>
      </c>
      <c r="AQ97" s="343">
        <f>AN97+AK97+AJ97+AH97+AA97+Z97+Y97+X97</f>
        <v>365000000</v>
      </c>
      <c r="AR97" s="343">
        <f>AQ97+AO97</f>
        <v>718505181</v>
      </c>
      <c r="AS97" s="344"/>
      <c r="AT97" s="336"/>
      <c r="AU97" s="336" t="s">
        <v>1199</v>
      </c>
      <c r="AV97" s="336"/>
    </row>
    <row r="98" spans="1:48" s="214" customFormat="1">
      <c r="A98" s="213"/>
      <c r="B98" s="335" t="s">
        <v>1343</v>
      </c>
      <c r="C98" s="336" t="s">
        <v>1344</v>
      </c>
      <c r="D98" s="336"/>
      <c r="E98" s="336"/>
      <c r="F98" s="336"/>
      <c r="G98" s="336"/>
      <c r="H98" s="337"/>
      <c r="I98" s="336"/>
      <c r="J98" s="336"/>
      <c r="K98" s="336" t="s">
        <v>1196</v>
      </c>
      <c r="L98" s="336">
        <v>32</v>
      </c>
      <c r="M98" s="336"/>
      <c r="N98" s="338"/>
      <c r="O98" s="338"/>
      <c r="P98" s="336"/>
      <c r="Q98" s="336"/>
      <c r="R98" s="339"/>
      <c r="S98" s="339"/>
      <c r="T98" s="339"/>
      <c r="U98" s="953">
        <v>11792929</v>
      </c>
      <c r="V98" s="953">
        <f t="shared" si="6"/>
        <v>129722219</v>
      </c>
      <c r="W98" s="341">
        <v>22000000</v>
      </c>
      <c r="X98" s="341">
        <f t="shared" si="14"/>
        <v>242000000</v>
      </c>
      <c r="Y98" s="340">
        <v>3000000</v>
      </c>
      <c r="Z98" s="340">
        <v>25000000</v>
      </c>
      <c r="AA98" s="341"/>
      <c r="AB98" s="341"/>
      <c r="AC98" s="341"/>
      <c r="AD98" s="341"/>
      <c r="AE98" s="341"/>
      <c r="AF98" s="341" t="s">
        <v>1224</v>
      </c>
      <c r="AG98" s="953">
        <v>1000000</v>
      </c>
      <c r="AH98" s="341">
        <f>AG98*34</f>
        <v>34000000</v>
      </c>
      <c r="AI98" s="341">
        <v>30000000</v>
      </c>
      <c r="AJ98" s="341">
        <f t="shared" si="13"/>
        <v>55000000</v>
      </c>
      <c r="AK98" s="340">
        <v>15000000</v>
      </c>
      <c r="AL98" s="961"/>
      <c r="AM98" s="341" t="s">
        <v>1198</v>
      </c>
      <c r="AN98" s="341"/>
      <c r="AO98" s="341">
        <v>377220384</v>
      </c>
      <c r="AP98" s="342">
        <v>64220000</v>
      </c>
      <c r="AQ98" s="343">
        <f>AN98+AK98+AJ98+AH98+AA98+Z98+Y98+X98</f>
        <v>374000000</v>
      </c>
      <c r="AR98" s="343">
        <f>AQ98+AO98</f>
        <v>751220384</v>
      </c>
      <c r="AS98" s="344"/>
      <c r="AT98" s="336"/>
      <c r="AU98" s="336" t="s">
        <v>1199</v>
      </c>
      <c r="AV98" s="336"/>
    </row>
    <row r="99" spans="1:48" s="214" customFormat="1">
      <c r="A99" s="213"/>
      <c r="B99" s="335" t="s">
        <v>1345</v>
      </c>
      <c r="C99" s="336" t="s">
        <v>1344</v>
      </c>
      <c r="D99" s="336"/>
      <c r="E99" s="336"/>
      <c r="F99" s="336"/>
      <c r="G99" s="336"/>
      <c r="H99" s="337"/>
      <c r="I99" s="336"/>
      <c r="J99" s="336"/>
      <c r="K99" s="336" t="s">
        <v>1196</v>
      </c>
      <c r="L99" s="336">
        <v>52</v>
      </c>
      <c r="M99" s="336"/>
      <c r="N99" s="338"/>
      <c r="O99" s="338"/>
      <c r="P99" s="336"/>
      <c r="Q99" s="336"/>
      <c r="R99" s="339"/>
      <c r="S99" s="339"/>
      <c r="T99" s="339"/>
      <c r="U99" s="953">
        <v>11792929</v>
      </c>
      <c r="V99" s="953">
        <f t="shared" si="6"/>
        <v>129722219</v>
      </c>
      <c r="W99" s="341">
        <v>23000000</v>
      </c>
      <c r="X99" s="341">
        <f t="shared" si="14"/>
        <v>253000000</v>
      </c>
      <c r="Y99" s="340">
        <v>3000000</v>
      </c>
      <c r="Z99" s="340">
        <v>25000000</v>
      </c>
      <c r="AA99" s="341"/>
      <c r="AB99" s="341"/>
      <c r="AC99" s="341"/>
      <c r="AD99" s="341"/>
      <c r="AE99" s="341"/>
      <c r="AF99" s="341" t="s">
        <v>1274</v>
      </c>
      <c r="AG99" s="953">
        <v>1500000</v>
      </c>
      <c r="AH99" s="341">
        <f>AG99*32</f>
        <v>48000000</v>
      </c>
      <c r="AI99" s="341">
        <v>27000000</v>
      </c>
      <c r="AJ99" s="341">
        <f t="shared" si="13"/>
        <v>52000000</v>
      </c>
      <c r="AK99" s="340">
        <v>15000000</v>
      </c>
      <c r="AL99" s="961"/>
      <c r="AM99" s="341" t="s">
        <v>1205</v>
      </c>
      <c r="AN99" s="341"/>
      <c r="AO99" s="341">
        <v>423293218</v>
      </c>
      <c r="AP99" s="342">
        <v>64220000</v>
      </c>
      <c r="AQ99" s="343">
        <f>AN99+AK99+AJ99+AH99+AA99+Z99+Y99+X99</f>
        <v>396000000</v>
      </c>
      <c r="AR99" s="343">
        <f>AQ99+AO99</f>
        <v>819293218</v>
      </c>
      <c r="AS99" s="344"/>
      <c r="AT99" s="336"/>
      <c r="AU99" s="336" t="s">
        <v>1199</v>
      </c>
      <c r="AV99" s="336"/>
    </row>
    <row r="100" spans="1:48" s="214" customFormat="1">
      <c r="A100" s="213"/>
      <c r="B100" s="335" t="s">
        <v>1346</v>
      </c>
      <c r="C100" s="336" t="s">
        <v>1344</v>
      </c>
      <c r="D100" s="336"/>
      <c r="E100" s="336"/>
      <c r="F100" s="336"/>
      <c r="G100" s="336"/>
      <c r="H100" s="337"/>
      <c r="I100" s="336"/>
      <c r="J100" s="336"/>
      <c r="K100" s="336" t="s">
        <v>1196</v>
      </c>
      <c r="L100" s="336">
        <v>42</v>
      </c>
      <c r="M100" s="336"/>
      <c r="N100" s="338"/>
      <c r="O100" s="338"/>
      <c r="P100" s="336"/>
      <c r="Q100" s="336"/>
      <c r="R100" s="339"/>
      <c r="S100" s="339"/>
      <c r="T100" s="339"/>
      <c r="U100" s="953">
        <v>11792929</v>
      </c>
      <c r="V100" s="953">
        <f t="shared" si="6"/>
        <v>129722219</v>
      </c>
      <c r="W100" s="341">
        <v>45000000</v>
      </c>
      <c r="X100" s="341">
        <f t="shared" si="14"/>
        <v>495000000</v>
      </c>
      <c r="Y100" s="340">
        <v>3000000</v>
      </c>
      <c r="Z100" s="340">
        <v>25000000</v>
      </c>
      <c r="AA100" s="341"/>
      <c r="AB100" s="341"/>
      <c r="AC100" s="341"/>
      <c r="AD100" s="341"/>
      <c r="AE100" s="341"/>
      <c r="AF100" s="341" t="s">
        <v>1334</v>
      </c>
      <c r="AG100" s="953"/>
      <c r="AH100" s="341">
        <v>45000000</v>
      </c>
      <c r="AI100" s="341">
        <v>30000000</v>
      </c>
      <c r="AJ100" s="341">
        <f t="shared" si="13"/>
        <v>55000000</v>
      </c>
      <c r="AK100" s="340">
        <v>15000000</v>
      </c>
      <c r="AL100" s="961"/>
      <c r="AM100" s="341" t="s">
        <v>1024</v>
      </c>
      <c r="AN100" s="341"/>
      <c r="AO100" s="341">
        <v>353505181</v>
      </c>
      <c r="AP100" s="342">
        <v>64220000</v>
      </c>
      <c r="AQ100" s="343">
        <f>AN100+AK100+AJ100+AH100+AA100+Z100+Y100+X100</f>
        <v>638000000</v>
      </c>
      <c r="AR100" s="343">
        <f>AQ100+AO100</f>
        <v>991505181</v>
      </c>
      <c r="AS100" s="344"/>
      <c r="AT100" s="336"/>
      <c r="AU100" s="336" t="s">
        <v>1199</v>
      </c>
      <c r="AV100" s="336"/>
    </row>
    <row r="101" spans="1:48" s="214" customFormat="1">
      <c r="A101" s="213"/>
      <c r="B101" s="335" t="s">
        <v>3073</v>
      </c>
      <c r="C101" s="336" t="s">
        <v>1344</v>
      </c>
      <c r="D101" s="336"/>
      <c r="E101" s="336"/>
      <c r="F101" s="336"/>
      <c r="G101" s="336"/>
      <c r="H101" s="337"/>
      <c r="I101" s="336"/>
      <c r="J101" s="336"/>
      <c r="K101" s="336" t="s">
        <v>1196</v>
      </c>
      <c r="L101" s="336">
        <v>42</v>
      </c>
      <c r="M101" s="336"/>
      <c r="N101" s="338"/>
      <c r="O101" s="338"/>
      <c r="P101" s="336"/>
      <c r="Q101" s="336"/>
      <c r="R101" s="339"/>
      <c r="S101" s="339"/>
      <c r="T101" s="339"/>
      <c r="U101" s="953">
        <v>11792929</v>
      </c>
      <c r="V101" s="953">
        <f t="shared" si="6"/>
        <v>129722219</v>
      </c>
      <c r="W101" s="341">
        <v>16000000</v>
      </c>
      <c r="X101" s="341">
        <f t="shared" si="14"/>
        <v>176000000</v>
      </c>
      <c r="Y101" s="340">
        <v>3000000</v>
      </c>
      <c r="Z101" s="340">
        <v>25000000</v>
      </c>
      <c r="AA101" s="341"/>
      <c r="AB101" s="341"/>
      <c r="AC101" s="341"/>
      <c r="AD101" s="341"/>
      <c r="AE101" s="341"/>
      <c r="AF101" s="341" t="s">
        <v>1240</v>
      </c>
      <c r="AG101" s="953">
        <v>500000</v>
      </c>
      <c r="AH101" s="341">
        <f>500000*18</f>
        <v>9000000</v>
      </c>
      <c r="AI101" s="341">
        <v>46000000</v>
      </c>
      <c r="AJ101" s="341">
        <f t="shared" si="13"/>
        <v>71000000</v>
      </c>
      <c r="AK101" s="340">
        <v>15000000</v>
      </c>
      <c r="AL101" s="961"/>
      <c r="AM101" s="341" t="s">
        <v>1024</v>
      </c>
      <c r="AN101" s="341"/>
      <c r="AO101" s="341">
        <v>353505181</v>
      </c>
      <c r="AP101" s="342"/>
      <c r="AQ101" s="343"/>
      <c r="AR101" s="343"/>
      <c r="AS101" s="344"/>
      <c r="AT101" s="336"/>
      <c r="AU101" s="336" t="s">
        <v>1199</v>
      </c>
      <c r="AV101" s="336"/>
    </row>
    <row r="102" spans="1:48" s="214" customFormat="1">
      <c r="A102" s="213"/>
      <c r="B102" s="335" t="s">
        <v>1347</v>
      </c>
      <c r="C102" s="336" t="s">
        <v>1344</v>
      </c>
      <c r="D102" s="336"/>
      <c r="E102" s="336"/>
      <c r="F102" s="336"/>
      <c r="G102" s="336"/>
      <c r="H102" s="337"/>
      <c r="I102" s="336"/>
      <c r="J102" s="336"/>
      <c r="K102" s="336" t="s">
        <v>1196</v>
      </c>
      <c r="L102" s="336">
        <v>42</v>
      </c>
      <c r="M102" s="336"/>
      <c r="N102" s="338"/>
      <c r="O102" s="338"/>
      <c r="P102" s="336"/>
      <c r="Q102" s="336"/>
      <c r="R102" s="339"/>
      <c r="S102" s="339"/>
      <c r="T102" s="339"/>
      <c r="U102" s="953">
        <v>11792929</v>
      </c>
      <c r="V102" s="953">
        <f t="shared" si="6"/>
        <v>129722219</v>
      </c>
      <c r="W102" s="341">
        <v>18000000</v>
      </c>
      <c r="X102" s="341">
        <f t="shared" si="14"/>
        <v>198000000</v>
      </c>
      <c r="Y102" s="340">
        <v>3000000</v>
      </c>
      <c r="Z102" s="340">
        <v>25000000</v>
      </c>
      <c r="AA102" s="341"/>
      <c r="AB102" s="341"/>
      <c r="AC102" s="341"/>
      <c r="AD102" s="341"/>
      <c r="AE102" s="341"/>
      <c r="AF102" s="341" t="s">
        <v>1286</v>
      </c>
      <c r="AG102" s="953">
        <v>500000</v>
      </c>
      <c r="AH102" s="341">
        <f>AG102*27</f>
        <v>13500000</v>
      </c>
      <c r="AI102" s="341">
        <v>50000000</v>
      </c>
      <c r="AJ102" s="341">
        <f t="shared" si="13"/>
        <v>75000000</v>
      </c>
      <c r="AK102" s="340">
        <v>15000000</v>
      </c>
      <c r="AL102" s="961"/>
      <c r="AM102" s="341" t="s">
        <v>1024</v>
      </c>
      <c r="AN102" s="341"/>
      <c r="AO102" s="341">
        <v>353505181</v>
      </c>
      <c r="AP102" s="342"/>
      <c r="AQ102" s="343"/>
      <c r="AR102" s="343"/>
      <c r="AS102" s="344"/>
      <c r="AT102" s="336"/>
      <c r="AU102" s="336"/>
      <c r="AV102" s="336"/>
    </row>
    <row r="103" spans="1:48" s="214" customFormat="1">
      <c r="A103" s="213"/>
      <c r="B103" s="335" t="s">
        <v>1348</v>
      </c>
      <c r="C103" s="336" t="s">
        <v>1195</v>
      </c>
      <c r="D103" s="336"/>
      <c r="E103" s="336"/>
      <c r="F103" s="336"/>
      <c r="G103" s="336"/>
      <c r="H103" s="337"/>
      <c r="I103" s="336"/>
      <c r="J103" s="336"/>
      <c r="K103" s="336" t="s">
        <v>1196</v>
      </c>
      <c r="L103" s="336">
        <v>32</v>
      </c>
      <c r="M103" s="336"/>
      <c r="N103" s="338"/>
      <c r="O103" s="338"/>
      <c r="P103" s="336"/>
      <c r="Q103" s="336"/>
      <c r="R103" s="339"/>
      <c r="S103" s="339"/>
      <c r="T103" s="339"/>
      <c r="U103" s="953">
        <v>21049242</v>
      </c>
      <c r="V103" s="953">
        <f t="shared" si="6"/>
        <v>231541662</v>
      </c>
      <c r="W103" s="341">
        <v>26000000</v>
      </c>
      <c r="X103" s="341">
        <f>W103*20</f>
        <v>520000000</v>
      </c>
      <c r="Y103" s="340">
        <v>3000000</v>
      </c>
      <c r="Z103" s="340">
        <v>25000000</v>
      </c>
      <c r="AA103" s="341"/>
      <c r="AB103" s="341"/>
      <c r="AC103" s="341"/>
      <c r="AD103" s="341"/>
      <c r="AE103" s="341"/>
      <c r="AF103" s="341"/>
      <c r="AG103" s="953"/>
      <c r="AH103" s="341"/>
      <c r="AI103" s="341"/>
      <c r="AJ103" s="341">
        <f t="shared" si="13"/>
        <v>25000000</v>
      </c>
      <c r="AK103" s="340"/>
      <c r="AL103" s="961"/>
      <c r="AM103" s="341"/>
      <c r="AN103" s="341"/>
      <c r="AO103" s="341"/>
      <c r="AP103" s="342">
        <v>64220000</v>
      </c>
      <c r="AQ103" s="343">
        <f>AN103+AK103+AJ103+AH103+AA103+Z103+Y103+X103</f>
        <v>573000000</v>
      </c>
      <c r="AR103" s="343">
        <f>AQ103+AO103</f>
        <v>573000000</v>
      </c>
      <c r="AS103" s="344"/>
      <c r="AT103" s="336"/>
      <c r="AU103" s="336" t="s">
        <v>1199</v>
      </c>
      <c r="AV103" s="336"/>
    </row>
    <row r="104" spans="1:48" s="214" customFormat="1">
      <c r="A104" s="213"/>
      <c r="B104" s="335" t="s">
        <v>1349</v>
      </c>
      <c r="C104" s="336" t="s">
        <v>1350</v>
      </c>
      <c r="D104" s="336"/>
      <c r="E104" s="336"/>
      <c r="F104" s="336"/>
      <c r="G104" s="336"/>
      <c r="H104" s="337"/>
      <c r="I104" s="336"/>
      <c r="J104" s="336"/>
      <c r="K104" s="336" t="s">
        <v>1118</v>
      </c>
      <c r="L104" s="336">
        <v>20</v>
      </c>
      <c r="M104" s="336"/>
      <c r="N104" s="338"/>
      <c r="O104" s="338"/>
      <c r="P104" s="336"/>
      <c r="Q104" s="336"/>
      <c r="R104" s="339"/>
      <c r="S104" s="339"/>
      <c r="T104" s="339"/>
      <c r="U104" s="960">
        <v>35000000</v>
      </c>
      <c r="V104" s="953">
        <f t="shared" si="6"/>
        <v>385000000</v>
      </c>
      <c r="W104" s="341">
        <v>15000000</v>
      </c>
      <c r="X104" s="341">
        <f t="shared" ref="X104:X112" si="15">W104*11</f>
        <v>165000000</v>
      </c>
      <c r="Y104" s="340">
        <v>3000000</v>
      </c>
      <c r="Z104" s="340">
        <v>15000000</v>
      </c>
      <c r="AA104" s="341"/>
      <c r="AB104" s="341"/>
      <c r="AC104" s="341"/>
      <c r="AD104" s="341"/>
      <c r="AE104" s="341"/>
      <c r="AF104" s="341"/>
      <c r="AG104" s="953"/>
      <c r="AH104" s="341">
        <v>66000000</v>
      </c>
      <c r="AI104" s="341"/>
      <c r="AJ104" s="341">
        <f t="shared" si="13"/>
        <v>15000000</v>
      </c>
      <c r="AK104" s="340">
        <v>15000000</v>
      </c>
      <c r="AL104" s="961"/>
      <c r="AM104" s="341" t="s">
        <v>1351</v>
      </c>
      <c r="AN104" s="341"/>
      <c r="AO104" s="341">
        <v>170000000</v>
      </c>
      <c r="AP104" s="342">
        <v>64220000</v>
      </c>
      <c r="AQ104" s="343">
        <f>AN104+AK104+AJ104+AH104+AA104+Z104+Y104+X104</f>
        <v>279000000</v>
      </c>
      <c r="AR104" s="343">
        <f>AQ104+AO104</f>
        <v>449000000</v>
      </c>
      <c r="AS104" s="344"/>
      <c r="AT104" s="336"/>
      <c r="AU104" s="336" t="s">
        <v>1199</v>
      </c>
      <c r="AV104" s="336"/>
    </row>
    <row r="105" spans="1:48" s="214" customFormat="1">
      <c r="A105" s="213"/>
      <c r="B105" s="352" t="s">
        <v>1352</v>
      </c>
      <c r="C105" s="336" t="s">
        <v>1350</v>
      </c>
      <c r="D105" s="336"/>
      <c r="E105" s="336"/>
      <c r="F105" s="336"/>
      <c r="G105" s="336"/>
      <c r="H105" s="337"/>
      <c r="I105" s="336"/>
      <c r="J105" s="336"/>
      <c r="K105" s="336" t="s">
        <v>1118</v>
      </c>
      <c r="L105" s="336">
        <v>25</v>
      </c>
      <c r="M105" s="336"/>
      <c r="N105" s="338"/>
      <c r="O105" s="338"/>
      <c r="P105" s="336"/>
      <c r="Q105" s="336"/>
      <c r="R105" s="339"/>
      <c r="S105" s="339"/>
      <c r="T105" s="339"/>
      <c r="U105" s="960">
        <v>35000000</v>
      </c>
      <c r="V105" s="953">
        <f t="shared" si="6"/>
        <v>385000000</v>
      </c>
      <c r="W105" s="341">
        <v>17000000</v>
      </c>
      <c r="X105" s="341">
        <f t="shared" si="15"/>
        <v>187000000</v>
      </c>
      <c r="Y105" s="340">
        <v>3000000</v>
      </c>
      <c r="Z105" s="340">
        <v>15000000</v>
      </c>
      <c r="AA105" s="341"/>
      <c r="AB105" s="341"/>
      <c r="AC105" s="341"/>
      <c r="AD105" s="341"/>
      <c r="AE105" s="341"/>
      <c r="AF105" s="341" t="s">
        <v>1353</v>
      </c>
      <c r="AG105" s="953">
        <v>750000</v>
      </c>
      <c r="AH105" s="341">
        <f>AG105*20</f>
        <v>15000000</v>
      </c>
      <c r="AI105" s="341">
        <v>38000000</v>
      </c>
      <c r="AJ105" s="341">
        <f t="shared" si="13"/>
        <v>53000000</v>
      </c>
      <c r="AK105" s="340">
        <v>15000000</v>
      </c>
      <c r="AL105" s="961"/>
      <c r="AM105" s="341" t="s">
        <v>1354</v>
      </c>
      <c r="AN105" s="341"/>
      <c r="AO105" s="341">
        <v>170000000</v>
      </c>
      <c r="AP105" s="342"/>
      <c r="AQ105" s="343"/>
      <c r="AR105" s="343"/>
      <c r="AS105" s="344"/>
      <c r="AT105" s="336"/>
      <c r="AU105" s="336"/>
      <c r="AV105" s="336"/>
    </row>
    <row r="106" spans="1:48" s="214" customFormat="1">
      <c r="A106" s="213"/>
      <c r="B106" s="352" t="s">
        <v>1355</v>
      </c>
      <c r="C106" s="336" t="s">
        <v>1350</v>
      </c>
      <c r="D106" s="336"/>
      <c r="E106" s="336"/>
      <c r="F106" s="336"/>
      <c r="G106" s="336"/>
      <c r="H106" s="337"/>
      <c r="I106" s="336"/>
      <c r="J106" s="336"/>
      <c r="K106" s="336" t="s">
        <v>1118</v>
      </c>
      <c r="L106" s="336">
        <v>25</v>
      </c>
      <c r="M106" s="336"/>
      <c r="N106" s="338"/>
      <c r="O106" s="338"/>
      <c r="P106" s="336"/>
      <c r="Q106" s="336"/>
      <c r="R106" s="339"/>
      <c r="S106" s="339"/>
      <c r="T106" s="339"/>
      <c r="U106" s="960">
        <v>35000000</v>
      </c>
      <c r="V106" s="953">
        <f t="shared" ref="V106:V131" si="16">U106*11</f>
        <v>385000000</v>
      </c>
      <c r="W106" s="341">
        <v>16000000</v>
      </c>
      <c r="X106" s="341">
        <f t="shared" si="15"/>
        <v>176000000</v>
      </c>
      <c r="Y106" s="340">
        <v>3000000</v>
      </c>
      <c r="Z106" s="340">
        <v>15000000</v>
      </c>
      <c r="AA106" s="341"/>
      <c r="AB106" s="341"/>
      <c r="AC106" s="341"/>
      <c r="AD106" s="341"/>
      <c r="AE106" s="341"/>
      <c r="AF106" s="341" t="s">
        <v>1261</v>
      </c>
      <c r="AG106" s="953">
        <v>750000</v>
      </c>
      <c r="AH106" s="341">
        <f>AG106*24</f>
        <v>18000000</v>
      </c>
      <c r="AI106" s="341">
        <v>35000000</v>
      </c>
      <c r="AJ106" s="341">
        <f t="shared" si="13"/>
        <v>50000000</v>
      </c>
      <c r="AK106" s="340">
        <v>15000000</v>
      </c>
      <c r="AL106" s="961"/>
      <c r="AM106" s="341" t="s">
        <v>1354</v>
      </c>
      <c r="AN106" s="341"/>
      <c r="AO106" s="341">
        <v>170000000</v>
      </c>
      <c r="AP106" s="342"/>
      <c r="AQ106" s="343"/>
      <c r="AR106" s="343"/>
      <c r="AS106" s="344"/>
      <c r="AT106" s="336"/>
      <c r="AU106" s="336"/>
      <c r="AV106" s="336"/>
    </row>
    <row r="107" spans="1:48" s="214" customFormat="1">
      <c r="A107" s="213"/>
      <c r="B107" s="352" t="s">
        <v>1356</v>
      </c>
      <c r="C107" s="336" t="s">
        <v>1350</v>
      </c>
      <c r="D107" s="336"/>
      <c r="E107" s="336"/>
      <c r="F107" s="336"/>
      <c r="G107" s="336"/>
      <c r="H107" s="337"/>
      <c r="I107" s="336"/>
      <c r="J107" s="336"/>
      <c r="K107" s="336" t="s">
        <v>1118</v>
      </c>
      <c r="L107" s="336">
        <v>25</v>
      </c>
      <c r="M107" s="336"/>
      <c r="N107" s="338"/>
      <c r="O107" s="338"/>
      <c r="P107" s="336"/>
      <c r="Q107" s="336"/>
      <c r="R107" s="339"/>
      <c r="S107" s="339"/>
      <c r="T107" s="339"/>
      <c r="U107" s="960">
        <v>35000000</v>
      </c>
      <c r="V107" s="953">
        <f t="shared" si="16"/>
        <v>385000000</v>
      </c>
      <c r="W107" s="341">
        <v>19000000</v>
      </c>
      <c r="X107" s="341">
        <f t="shared" si="15"/>
        <v>209000000</v>
      </c>
      <c r="Y107" s="340">
        <v>3000000</v>
      </c>
      <c r="Z107" s="340">
        <v>15000000</v>
      </c>
      <c r="AA107" s="341"/>
      <c r="AB107" s="341"/>
      <c r="AC107" s="341"/>
      <c r="AD107" s="341"/>
      <c r="AE107" s="341"/>
      <c r="AF107" s="341" t="s">
        <v>1204</v>
      </c>
      <c r="AG107" s="954" t="s">
        <v>1218</v>
      </c>
      <c r="AH107" s="341">
        <v>12000000</v>
      </c>
      <c r="AI107" s="341">
        <v>38000000</v>
      </c>
      <c r="AJ107" s="341">
        <f t="shared" si="13"/>
        <v>53000000</v>
      </c>
      <c r="AK107" s="340">
        <v>15000000</v>
      </c>
      <c r="AL107" s="961"/>
      <c r="AM107" s="341" t="s">
        <v>1354</v>
      </c>
      <c r="AN107" s="341"/>
      <c r="AO107" s="341">
        <v>170000000</v>
      </c>
      <c r="AP107" s="342"/>
      <c r="AQ107" s="343"/>
      <c r="AR107" s="343"/>
      <c r="AS107" s="344"/>
      <c r="AT107" s="336"/>
      <c r="AU107" s="336"/>
      <c r="AV107" s="336"/>
    </row>
    <row r="108" spans="1:48" s="214" customFormat="1">
      <c r="A108" s="213"/>
      <c r="B108" s="352" t="s">
        <v>1357</v>
      </c>
      <c r="C108" s="336" t="s">
        <v>1350</v>
      </c>
      <c r="D108" s="336"/>
      <c r="E108" s="336"/>
      <c r="F108" s="336"/>
      <c r="G108" s="336"/>
      <c r="H108" s="337"/>
      <c r="I108" s="336"/>
      <c r="J108" s="336"/>
      <c r="K108" s="336" t="s">
        <v>1118</v>
      </c>
      <c r="L108" s="336">
        <v>25</v>
      </c>
      <c r="M108" s="336"/>
      <c r="N108" s="338"/>
      <c r="O108" s="338"/>
      <c r="P108" s="336"/>
      <c r="Q108" s="336"/>
      <c r="R108" s="339"/>
      <c r="S108" s="339"/>
      <c r="T108" s="339"/>
      <c r="U108" s="960">
        <v>35000000</v>
      </c>
      <c r="V108" s="953">
        <f t="shared" si="16"/>
        <v>385000000</v>
      </c>
      <c r="W108" s="341">
        <v>19000000</v>
      </c>
      <c r="X108" s="341">
        <f t="shared" si="15"/>
        <v>209000000</v>
      </c>
      <c r="Y108" s="340">
        <v>3000000</v>
      </c>
      <c r="Z108" s="340">
        <v>15000000</v>
      </c>
      <c r="AA108" s="341"/>
      <c r="AB108" s="341"/>
      <c r="AC108" s="341"/>
      <c r="AD108" s="341"/>
      <c r="AE108" s="341"/>
      <c r="AF108" s="341" t="s">
        <v>1204</v>
      </c>
      <c r="AG108" s="954" t="s">
        <v>1218</v>
      </c>
      <c r="AH108" s="341">
        <v>12000000</v>
      </c>
      <c r="AI108" s="341">
        <v>48000000</v>
      </c>
      <c r="AJ108" s="341">
        <f t="shared" si="13"/>
        <v>63000000</v>
      </c>
      <c r="AK108" s="340">
        <v>15000000</v>
      </c>
      <c r="AL108" s="961"/>
      <c r="AM108" s="341" t="s">
        <v>1354</v>
      </c>
      <c r="AN108" s="341"/>
      <c r="AO108" s="341">
        <v>170000000</v>
      </c>
      <c r="AP108" s="342"/>
      <c r="AQ108" s="343"/>
      <c r="AR108" s="343"/>
      <c r="AS108" s="344"/>
      <c r="AT108" s="336"/>
      <c r="AU108" s="336"/>
      <c r="AV108" s="336"/>
    </row>
    <row r="109" spans="1:48" s="214" customFormat="1">
      <c r="A109" s="213">
        <v>2021</v>
      </c>
      <c r="B109" s="352" t="s">
        <v>161</v>
      </c>
      <c r="C109" s="336" t="s">
        <v>1350</v>
      </c>
      <c r="D109" s="336"/>
      <c r="E109" s="336"/>
      <c r="F109" s="336"/>
      <c r="G109" s="336"/>
      <c r="H109" s="337"/>
      <c r="I109" s="336"/>
      <c r="J109" s="336"/>
      <c r="K109" s="336" t="s">
        <v>1118</v>
      </c>
      <c r="L109" s="336">
        <v>25</v>
      </c>
      <c r="M109" s="336"/>
      <c r="N109" s="338"/>
      <c r="O109" s="338"/>
      <c r="P109" s="336"/>
      <c r="Q109" s="336"/>
      <c r="R109" s="339"/>
      <c r="S109" s="339"/>
      <c r="T109" s="339"/>
      <c r="U109" s="960">
        <v>21179826</v>
      </c>
      <c r="V109" s="953">
        <f t="shared" si="16"/>
        <v>232978086</v>
      </c>
      <c r="W109" s="341">
        <v>18000000</v>
      </c>
      <c r="X109" s="341">
        <f>W109*10</f>
        <v>180000000</v>
      </c>
      <c r="Y109" s="340">
        <v>3000000</v>
      </c>
      <c r="Z109" s="340">
        <v>15000000</v>
      </c>
      <c r="AA109" s="341"/>
      <c r="AB109" s="341"/>
      <c r="AC109" s="341"/>
      <c r="AD109" s="341"/>
      <c r="AE109" s="341"/>
      <c r="AF109" s="341" t="s">
        <v>1306</v>
      </c>
      <c r="AG109" s="954">
        <v>500000</v>
      </c>
      <c r="AH109" s="341">
        <f>AG109*18</f>
        <v>9000000</v>
      </c>
      <c r="AI109" s="341">
        <v>68500000</v>
      </c>
      <c r="AJ109" s="341">
        <f t="shared" si="13"/>
        <v>83500000</v>
      </c>
      <c r="AK109" s="340">
        <v>15000000</v>
      </c>
      <c r="AL109" s="961">
        <f>AJ109+AH109</f>
        <v>92500000</v>
      </c>
      <c r="AM109" s="341" t="s">
        <v>1351</v>
      </c>
      <c r="AN109" s="341"/>
      <c r="AO109" s="341">
        <v>140000000</v>
      </c>
      <c r="AP109" s="342"/>
      <c r="AQ109" s="343"/>
      <c r="AR109" s="343"/>
      <c r="AS109" s="344"/>
      <c r="AT109" s="336"/>
      <c r="AU109" s="336"/>
      <c r="AV109" s="336"/>
    </row>
    <row r="110" spans="1:48" s="214" customFormat="1">
      <c r="A110" s="213"/>
      <c r="B110" s="352" t="s">
        <v>1358</v>
      </c>
      <c r="C110" s="336" t="s">
        <v>1350</v>
      </c>
      <c r="D110" s="336"/>
      <c r="E110" s="336"/>
      <c r="F110" s="336"/>
      <c r="G110" s="336"/>
      <c r="H110" s="337"/>
      <c r="I110" s="336"/>
      <c r="J110" s="336"/>
      <c r="K110" s="336" t="s">
        <v>1118</v>
      </c>
      <c r="L110" s="336">
        <v>20</v>
      </c>
      <c r="M110" s="336"/>
      <c r="N110" s="338"/>
      <c r="O110" s="338"/>
      <c r="P110" s="336"/>
      <c r="Q110" s="336"/>
      <c r="R110" s="339"/>
      <c r="S110" s="339"/>
      <c r="T110" s="339"/>
      <c r="U110" s="960">
        <v>35000000</v>
      </c>
      <c r="V110" s="953">
        <f t="shared" si="16"/>
        <v>385000000</v>
      </c>
      <c r="W110" s="341">
        <v>18000000</v>
      </c>
      <c r="X110" s="341">
        <f t="shared" si="15"/>
        <v>198000000</v>
      </c>
      <c r="Y110" s="340">
        <v>3000000</v>
      </c>
      <c r="Z110" s="340">
        <v>15000000</v>
      </c>
      <c r="AA110" s="341"/>
      <c r="AB110" s="341"/>
      <c r="AC110" s="341"/>
      <c r="AD110" s="341"/>
      <c r="AE110" s="341"/>
      <c r="AF110" s="341" t="s">
        <v>1276</v>
      </c>
      <c r="AG110" s="954">
        <v>1000000</v>
      </c>
      <c r="AH110" s="341">
        <f>AG110*20</f>
        <v>20000000</v>
      </c>
      <c r="AI110" s="341">
        <v>53000000</v>
      </c>
      <c r="AJ110" s="341">
        <f t="shared" si="13"/>
        <v>68000000</v>
      </c>
      <c r="AK110" s="340">
        <v>15000000</v>
      </c>
      <c r="AL110" s="961"/>
      <c r="AM110" s="341" t="s">
        <v>1351</v>
      </c>
      <c r="AN110" s="341"/>
      <c r="AO110" s="341">
        <v>170000000</v>
      </c>
      <c r="AP110" s="342"/>
      <c r="AQ110" s="343"/>
      <c r="AR110" s="343"/>
      <c r="AS110" s="344"/>
      <c r="AT110" s="336"/>
      <c r="AU110" s="336"/>
      <c r="AV110" s="336"/>
    </row>
    <row r="111" spans="1:48" s="214" customFormat="1">
      <c r="A111" s="213"/>
      <c r="B111" s="352" t="s">
        <v>1359</v>
      </c>
      <c r="C111" s="336" t="s">
        <v>1350</v>
      </c>
      <c r="D111" s="336"/>
      <c r="E111" s="336"/>
      <c r="F111" s="336"/>
      <c r="G111" s="336"/>
      <c r="H111" s="337"/>
      <c r="I111" s="336"/>
      <c r="J111" s="336"/>
      <c r="K111" s="336" t="s">
        <v>1118</v>
      </c>
      <c r="L111" s="336">
        <v>25</v>
      </c>
      <c r="M111" s="336"/>
      <c r="N111" s="338"/>
      <c r="O111" s="338"/>
      <c r="P111" s="336"/>
      <c r="Q111" s="336"/>
      <c r="R111" s="339"/>
      <c r="S111" s="339"/>
      <c r="T111" s="339"/>
      <c r="U111" s="960">
        <v>35000000</v>
      </c>
      <c r="V111" s="953">
        <f t="shared" si="16"/>
        <v>385000000</v>
      </c>
      <c r="W111" s="341">
        <v>19000000</v>
      </c>
      <c r="X111" s="341">
        <f t="shared" si="15"/>
        <v>209000000</v>
      </c>
      <c r="Y111" s="340">
        <v>3000000</v>
      </c>
      <c r="Z111" s="340">
        <v>15000000</v>
      </c>
      <c r="AA111" s="341"/>
      <c r="AB111" s="341"/>
      <c r="AC111" s="341"/>
      <c r="AD111" s="341"/>
      <c r="AE111" s="341"/>
      <c r="AF111" s="341" t="s">
        <v>1299</v>
      </c>
      <c r="AG111" s="954">
        <v>1000000</v>
      </c>
      <c r="AH111" s="341">
        <f>AG111*10</f>
        <v>10000000</v>
      </c>
      <c r="AI111" s="341">
        <v>66000000</v>
      </c>
      <c r="AJ111" s="341">
        <f t="shared" si="13"/>
        <v>81000000</v>
      </c>
      <c r="AK111" s="340">
        <v>15000000</v>
      </c>
      <c r="AL111" s="961"/>
      <c r="AM111" s="341" t="s">
        <v>1354</v>
      </c>
      <c r="AN111" s="341"/>
      <c r="AO111" s="341">
        <v>170000000</v>
      </c>
      <c r="AP111" s="342"/>
      <c r="AQ111" s="343"/>
      <c r="AR111" s="343"/>
      <c r="AS111" s="344"/>
      <c r="AT111" s="336"/>
      <c r="AU111" s="336"/>
      <c r="AV111" s="336"/>
    </row>
    <row r="112" spans="1:48" s="214" customFormat="1">
      <c r="A112" s="213"/>
      <c r="B112" s="352" t="s">
        <v>1360</v>
      </c>
      <c r="C112" s="336" t="s">
        <v>1350</v>
      </c>
      <c r="D112" s="336"/>
      <c r="E112" s="336"/>
      <c r="F112" s="336"/>
      <c r="G112" s="336"/>
      <c r="H112" s="337"/>
      <c r="I112" s="336"/>
      <c r="J112" s="336"/>
      <c r="K112" s="336" t="s">
        <v>1118</v>
      </c>
      <c r="L112" s="336">
        <v>20</v>
      </c>
      <c r="M112" s="336"/>
      <c r="N112" s="338"/>
      <c r="O112" s="338"/>
      <c r="P112" s="336"/>
      <c r="Q112" s="336"/>
      <c r="R112" s="339"/>
      <c r="S112" s="339"/>
      <c r="T112" s="339"/>
      <c r="U112" s="960">
        <v>35000000</v>
      </c>
      <c r="V112" s="953">
        <f>U112*11</f>
        <v>385000000</v>
      </c>
      <c r="W112" s="341">
        <v>20000000</v>
      </c>
      <c r="X112" s="341">
        <f t="shared" si="15"/>
        <v>220000000</v>
      </c>
      <c r="Y112" s="340">
        <v>3000000</v>
      </c>
      <c r="Z112" s="340">
        <v>15000000</v>
      </c>
      <c r="AA112" s="341"/>
      <c r="AB112" s="341"/>
      <c r="AC112" s="341"/>
      <c r="AD112" s="341"/>
      <c r="AE112" s="341"/>
      <c r="AF112" s="341" t="s">
        <v>1278</v>
      </c>
      <c r="AG112" s="954" t="s">
        <v>1218</v>
      </c>
      <c r="AH112" s="341">
        <v>12500000</v>
      </c>
      <c r="AI112" s="341">
        <v>58000000</v>
      </c>
      <c r="AJ112" s="341">
        <f t="shared" si="13"/>
        <v>73000000</v>
      </c>
      <c r="AK112" s="340">
        <v>15000000</v>
      </c>
      <c r="AL112" s="961"/>
      <c r="AM112" s="341" t="s">
        <v>1351</v>
      </c>
      <c r="AN112" s="341"/>
      <c r="AO112" s="341">
        <v>170000000</v>
      </c>
      <c r="AP112" s="342"/>
      <c r="AQ112" s="343"/>
      <c r="AR112" s="343"/>
      <c r="AS112" s="344"/>
      <c r="AT112" s="336"/>
      <c r="AU112" s="336"/>
      <c r="AV112" s="336"/>
    </row>
    <row r="113" spans="1:48" s="214" customFormat="1">
      <c r="A113" s="213"/>
      <c r="B113" s="352" t="s">
        <v>1361</v>
      </c>
      <c r="C113" s="336" t="s">
        <v>1350</v>
      </c>
      <c r="D113" s="336"/>
      <c r="E113" s="336"/>
      <c r="F113" s="336"/>
      <c r="G113" s="336"/>
      <c r="H113" s="337"/>
      <c r="I113" s="336"/>
      <c r="J113" s="336"/>
      <c r="K113" s="336" t="s">
        <v>1118</v>
      </c>
      <c r="L113" s="336">
        <v>20</v>
      </c>
      <c r="M113" s="336"/>
      <c r="N113" s="338"/>
      <c r="O113" s="338"/>
      <c r="P113" s="336"/>
      <c r="Q113" s="336"/>
      <c r="R113" s="339"/>
      <c r="S113" s="339"/>
      <c r="T113" s="339"/>
      <c r="U113" s="960">
        <v>35000000</v>
      </c>
      <c r="V113" s="953">
        <f>U113*11</f>
        <v>385000000</v>
      </c>
      <c r="W113" s="341">
        <v>17000000</v>
      </c>
      <c r="X113" s="341">
        <f>W113*11</f>
        <v>187000000</v>
      </c>
      <c r="Y113" s="340">
        <v>3000000</v>
      </c>
      <c r="Z113" s="340">
        <v>15000000</v>
      </c>
      <c r="AA113" s="341"/>
      <c r="AB113" s="341"/>
      <c r="AC113" s="341"/>
      <c r="AD113" s="341"/>
      <c r="AE113" s="341"/>
      <c r="AF113" s="341" t="s">
        <v>1276</v>
      </c>
      <c r="AG113" s="954">
        <v>750000</v>
      </c>
      <c r="AH113" s="341">
        <f>AG113*20</f>
        <v>15000000</v>
      </c>
      <c r="AI113" s="341">
        <v>55000000</v>
      </c>
      <c r="AJ113" s="341">
        <f t="shared" si="13"/>
        <v>70000000</v>
      </c>
      <c r="AK113" s="340">
        <v>15000000</v>
      </c>
      <c r="AL113" s="961"/>
      <c r="AM113" s="341" t="s">
        <v>1351</v>
      </c>
      <c r="AN113" s="341"/>
      <c r="AO113" s="341">
        <v>170000000</v>
      </c>
      <c r="AP113" s="342"/>
      <c r="AQ113" s="343"/>
      <c r="AR113" s="343"/>
      <c r="AS113" s="344"/>
      <c r="AT113" s="336"/>
      <c r="AU113" s="336"/>
      <c r="AV113" s="336"/>
    </row>
    <row r="114" spans="1:48" s="214" customFormat="1">
      <c r="A114" s="213"/>
      <c r="B114" s="352" t="s">
        <v>1362</v>
      </c>
      <c r="C114" s="336" t="s">
        <v>1350</v>
      </c>
      <c r="D114" s="336"/>
      <c r="E114" s="336"/>
      <c r="F114" s="336"/>
      <c r="G114" s="336"/>
      <c r="H114" s="337"/>
      <c r="I114" s="336"/>
      <c r="J114" s="336"/>
      <c r="K114" s="336" t="s">
        <v>1118</v>
      </c>
      <c r="L114" s="336">
        <v>20</v>
      </c>
      <c r="M114" s="336"/>
      <c r="N114" s="338"/>
      <c r="O114" s="338"/>
      <c r="P114" s="336"/>
      <c r="Q114" s="336"/>
      <c r="R114" s="339"/>
      <c r="S114" s="339"/>
      <c r="T114" s="339"/>
      <c r="U114" s="960">
        <v>35000000</v>
      </c>
      <c r="V114" s="953">
        <f>U114*11</f>
        <v>385000000</v>
      </c>
      <c r="W114" s="341">
        <v>20000000</v>
      </c>
      <c r="X114" s="341">
        <f>W114*11</f>
        <v>220000000</v>
      </c>
      <c r="Y114" s="340">
        <v>3000000</v>
      </c>
      <c r="Z114" s="340">
        <v>15000000</v>
      </c>
      <c r="AA114" s="341"/>
      <c r="AB114" s="341"/>
      <c r="AC114" s="341"/>
      <c r="AD114" s="341"/>
      <c r="AE114" s="341"/>
      <c r="AF114" s="341" t="s">
        <v>1363</v>
      </c>
      <c r="AG114" s="954">
        <v>1250000</v>
      </c>
      <c r="AH114" s="341">
        <f>AG114*7</f>
        <v>8750000</v>
      </c>
      <c r="AI114" s="341">
        <v>65000000</v>
      </c>
      <c r="AJ114" s="341">
        <f t="shared" si="13"/>
        <v>80000000</v>
      </c>
      <c r="AK114" s="340">
        <v>15000000</v>
      </c>
      <c r="AL114" s="961"/>
      <c r="AM114" s="341" t="s">
        <v>1351</v>
      </c>
      <c r="AN114" s="341"/>
      <c r="AO114" s="341">
        <v>170000000</v>
      </c>
      <c r="AP114" s="342"/>
      <c r="AQ114" s="343"/>
      <c r="AR114" s="343"/>
      <c r="AS114" s="344"/>
      <c r="AT114" s="336"/>
      <c r="AU114" s="336"/>
      <c r="AV114" s="336"/>
    </row>
    <row r="115" spans="1:48" s="214" customFormat="1">
      <c r="A115" s="213"/>
      <c r="B115" s="352" t="s">
        <v>1364</v>
      </c>
      <c r="C115" s="336" t="s">
        <v>1350</v>
      </c>
      <c r="D115" s="336"/>
      <c r="E115" s="336"/>
      <c r="F115" s="336"/>
      <c r="G115" s="336"/>
      <c r="H115" s="337"/>
      <c r="I115" s="336"/>
      <c r="J115" s="336"/>
      <c r="K115" s="336" t="s">
        <v>1118</v>
      </c>
      <c r="L115" s="336">
        <v>20</v>
      </c>
      <c r="M115" s="336"/>
      <c r="N115" s="338"/>
      <c r="O115" s="338"/>
      <c r="P115" s="336"/>
      <c r="Q115" s="336"/>
      <c r="R115" s="339"/>
      <c r="S115" s="339"/>
      <c r="T115" s="339"/>
      <c r="U115" s="960">
        <v>35000000</v>
      </c>
      <c r="V115" s="953">
        <f>U115*11</f>
        <v>385000000</v>
      </c>
      <c r="W115" s="341">
        <v>20000000</v>
      </c>
      <c r="X115" s="341">
        <f>W115*11</f>
        <v>220000000</v>
      </c>
      <c r="Y115" s="340">
        <v>3000000</v>
      </c>
      <c r="Z115" s="340">
        <v>15000000</v>
      </c>
      <c r="AA115" s="341"/>
      <c r="AB115" s="341"/>
      <c r="AC115" s="341"/>
      <c r="AD115" s="341"/>
      <c r="AE115" s="341"/>
      <c r="AF115" s="341" t="s">
        <v>1281</v>
      </c>
      <c r="AG115" s="954">
        <v>1000000</v>
      </c>
      <c r="AH115" s="341">
        <f>AG115*17</f>
        <v>17000000</v>
      </c>
      <c r="AI115" s="341">
        <v>59500000</v>
      </c>
      <c r="AJ115" s="341">
        <f t="shared" si="13"/>
        <v>74500000</v>
      </c>
      <c r="AK115" s="340">
        <v>15000000</v>
      </c>
      <c r="AL115" s="961"/>
      <c r="AM115" s="341" t="s">
        <v>1351</v>
      </c>
      <c r="AN115" s="341"/>
      <c r="AO115" s="341">
        <v>170000000</v>
      </c>
      <c r="AP115" s="342"/>
      <c r="AQ115" s="343"/>
      <c r="AR115" s="343"/>
      <c r="AS115" s="344"/>
      <c r="AT115" s="336"/>
      <c r="AU115" s="336"/>
      <c r="AV115" s="336"/>
    </row>
    <row r="116" spans="1:48" s="214" customFormat="1">
      <c r="A116" s="213"/>
      <c r="B116" s="352" t="s">
        <v>47</v>
      </c>
      <c r="C116" s="336" t="s">
        <v>1350</v>
      </c>
      <c r="D116" s="336"/>
      <c r="E116" s="336"/>
      <c r="F116" s="336"/>
      <c r="G116" s="336"/>
      <c r="H116" s="337"/>
      <c r="I116" s="336"/>
      <c r="J116" s="336"/>
      <c r="K116" s="336" t="s">
        <v>1118</v>
      </c>
      <c r="L116" s="336">
        <v>20</v>
      </c>
      <c r="M116" s="336"/>
      <c r="N116" s="338"/>
      <c r="O116" s="338"/>
      <c r="P116" s="336"/>
      <c r="Q116" s="336"/>
      <c r="R116" s="339"/>
      <c r="S116" s="339"/>
      <c r="T116" s="339"/>
      <c r="U116" s="960">
        <v>35000000</v>
      </c>
      <c r="V116" s="953">
        <f>U116*11</f>
        <v>385000000</v>
      </c>
      <c r="W116" s="341">
        <v>15000000</v>
      </c>
      <c r="X116" s="341">
        <f>W116*10</f>
        <v>150000000</v>
      </c>
      <c r="Y116" s="340">
        <v>3000000</v>
      </c>
      <c r="Z116" s="340">
        <v>15000000</v>
      </c>
      <c r="AA116" s="341"/>
      <c r="AB116" s="341"/>
      <c r="AC116" s="341"/>
      <c r="AD116" s="341"/>
      <c r="AE116" s="341"/>
      <c r="AF116" s="341" t="s">
        <v>1276</v>
      </c>
      <c r="AG116" s="954">
        <v>500000</v>
      </c>
      <c r="AH116" s="341">
        <f>AG116*20</f>
        <v>10000000</v>
      </c>
      <c r="AI116" s="341">
        <v>74000000</v>
      </c>
      <c r="AJ116" s="341">
        <f t="shared" si="13"/>
        <v>89000000</v>
      </c>
      <c r="AK116" s="340">
        <v>15000000</v>
      </c>
      <c r="AL116" s="961"/>
      <c r="AM116" s="341" t="s">
        <v>1351</v>
      </c>
      <c r="AN116" s="341"/>
      <c r="AO116" s="341">
        <v>170000000</v>
      </c>
      <c r="AP116" s="342"/>
      <c r="AQ116" s="343"/>
      <c r="AR116" s="343"/>
      <c r="AS116" s="344"/>
      <c r="AT116" s="336"/>
      <c r="AU116" s="336"/>
      <c r="AV116" s="336"/>
    </row>
    <row r="117" spans="1:48" s="214" customFormat="1">
      <c r="B117" s="337" t="s">
        <v>1365</v>
      </c>
      <c r="C117" s="336" t="s">
        <v>1296</v>
      </c>
      <c r="D117" s="336"/>
      <c r="E117" s="339"/>
      <c r="F117" s="336"/>
      <c r="G117" s="336"/>
      <c r="H117" s="336"/>
      <c r="I117" s="336"/>
      <c r="J117" s="336"/>
      <c r="K117" s="336" t="s">
        <v>1196</v>
      </c>
      <c r="L117" s="336">
        <v>52</v>
      </c>
      <c r="M117" s="339"/>
      <c r="N117" s="336"/>
      <c r="O117" s="339"/>
      <c r="P117" s="339"/>
      <c r="Q117" s="353"/>
      <c r="R117" s="353"/>
      <c r="S117" s="353"/>
      <c r="T117" s="353"/>
      <c r="U117" s="953">
        <v>25000000</v>
      </c>
      <c r="V117" s="953">
        <f t="shared" si="16"/>
        <v>275000000</v>
      </c>
      <c r="W117" s="341">
        <v>24000000</v>
      </c>
      <c r="X117" s="341">
        <f t="shared" ref="X117:X132" si="17">W117*20</f>
        <v>480000000</v>
      </c>
      <c r="Y117" s="340">
        <v>3000000</v>
      </c>
      <c r="Z117" s="340">
        <v>25700000</v>
      </c>
      <c r="AA117" s="341"/>
      <c r="AB117" s="341"/>
      <c r="AC117" s="341"/>
      <c r="AD117" s="341"/>
      <c r="AE117" s="341"/>
      <c r="AF117" s="341" t="s">
        <v>1261</v>
      </c>
      <c r="AG117" s="953">
        <v>500000</v>
      </c>
      <c r="AH117" s="341">
        <f>AG117*24</f>
        <v>12000000</v>
      </c>
      <c r="AI117" s="341">
        <v>39300000</v>
      </c>
      <c r="AJ117" s="341">
        <f t="shared" si="13"/>
        <v>65000000</v>
      </c>
      <c r="AK117" s="340">
        <v>15000000</v>
      </c>
      <c r="AL117" s="961"/>
      <c r="AM117" s="336" t="s">
        <v>1205</v>
      </c>
      <c r="AN117" s="354"/>
      <c r="AO117" s="341">
        <v>423293218</v>
      </c>
      <c r="AP117" s="342">
        <v>60000000</v>
      </c>
      <c r="AQ117" s="343">
        <f>AN117+AK117+AJ117+AH117+AA117+Z117+Y117+X117</f>
        <v>600700000</v>
      </c>
      <c r="AR117" s="343">
        <f>AQ117+AO117</f>
        <v>1023993218</v>
      </c>
      <c r="AS117" s="344"/>
      <c r="AT117" s="344"/>
      <c r="AU117" s="336" t="s">
        <v>1199</v>
      </c>
      <c r="AV117" s="336"/>
    </row>
    <row r="118" spans="1:48" s="214" customFormat="1">
      <c r="B118" s="337" t="s">
        <v>1366</v>
      </c>
      <c r="C118" s="336" t="s">
        <v>1367</v>
      </c>
      <c r="D118" s="336"/>
      <c r="E118" s="339"/>
      <c r="F118" s="336"/>
      <c r="G118" s="336"/>
      <c r="H118" s="336"/>
      <c r="I118" s="336"/>
      <c r="J118" s="336"/>
      <c r="K118" s="336" t="s">
        <v>1196</v>
      </c>
      <c r="L118" s="336">
        <v>32</v>
      </c>
      <c r="M118" s="339"/>
      <c r="N118" s="336"/>
      <c r="O118" s="339"/>
      <c r="P118" s="339"/>
      <c r="Q118" s="353"/>
      <c r="R118" s="353"/>
      <c r="S118" s="353"/>
      <c r="T118" s="353"/>
      <c r="U118" s="953">
        <v>25000000</v>
      </c>
      <c r="V118" s="953">
        <f t="shared" si="16"/>
        <v>275000000</v>
      </c>
      <c r="W118" s="341">
        <v>20000000</v>
      </c>
      <c r="X118" s="341">
        <f t="shared" si="17"/>
        <v>400000000</v>
      </c>
      <c r="Y118" s="340">
        <v>3000000</v>
      </c>
      <c r="Z118" s="340">
        <v>25000000</v>
      </c>
      <c r="AA118" s="341"/>
      <c r="AB118" s="341"/>
      <c r="AC118" s="341"/>
      <c r="AD118" s="341"/>
      <c r="AE118" s="341"/>
      <c r="AF118" s="341" t="s">
        <v>1197</v>
      </c>
      <c r="AG118" s="953"/>
      <c r="AH118" s="341">
        <v>16000000</v>
      </c>
      <c r="AI118" s="341">
        <v>52500000</v>
      </c>
      <c r="AJ118" s="341">
        <f t="shared" si="13"/>
        <v>77500000</v>
      </c>
      <c r="AK118" s="340">
        <v>15000000</v>
      </c>
      <c r="AL118" s="961"/>
      <c r="AM118" s="336" t="s">
        <v>1215</v>
      </c>
      <c r="AN118" s="354"/>
      <c r="AO118" s="341">
        <v>423293218</v>
      </c>
      <c r="AP118" s="342"/>
      <c r="AQ118" s="343"/>
      <c r="AR118" s="343"/>
      <c r="AS118" s="344"/>
      <c r="AT118" s="344"/>
      <c r="AU118" s="336" t="s">
        <v>1199</v>
      </c>
      <c r="AV118" s="336"/>
    </row>
    <row r="119" spans="1:48" s="214" customFormat="1">
      <c r="B119" s="337" t="s">
        <v>1368</v>
      </c>
      <c r="C119" s="336" t="s">
        <v>1367</v>
      </c>
      <c r="D119" s="336"/>
      <c r="E119" s="339"/>
      <c r="F119" s="336"/>
      <c r="G119" s="336"/>
      <c r="H119" s="336"/>
      <c r="I119" s="336"/>
      <c r="J119" s="336"/>
      <c r="K119" s="336" t="s">
        <v>1196</v>
      </c>
      <c r="L119" s="336">
        <v>36</v>
      </c>
      <c r="M119" s="339"/>
      <c r="N119" s="336"/>
      <c r="O119" s="339"/>
      <c r="P119" s="339"/>
      <c r="Q119" s="353"/>
      <c r="R119" s="353"/>
      <c r="S119" s="353"/>
      <c r="T119" s="353"/>
      <c r="U119" s="953">
        <v>25000000</v>
      </c>
      <c r="V119" s="953">
        <f t="shared" si="16"/>
        <v>275000000</v>
      </c>
      <c r="W119" s="341">
        <v>20000000</v>
      </c>
      <c r="X119" s="341">
        <f t="shared" si="17"/>
        <v>400000000</v>
      </c>
      <c r="Y119" s="340">
        <v>3000000</v>
      </c>
      <c r="Z119" s="340">
        <v>25000000</v>
      </c>
      <c r="AA119" s="341"/>
      <c r="AB119" s="341"/>
      <c r="AC119" s="341"/>
      <c r="AD119" s="341"/>
      <c r="AE119" s="341"/>
      <c r="AF119" s="341" t="s">
        <v>1246</v>
      </c>
      <c r="AG119" s="953">
        <v>500000</v>
      </c>
      <c r="AH119" s="341">
        <f>13*500000</f>
        <v>6500000</v>
      </c>
      <c r="AI119" s="341">
        <v>58500000</v>
      </c>
      <c r="AJ119" s="341">
        <f t="shared" si="13"/>
        <v>83500000</v>
      </c>
      <c r="AK119" s="340">
        <v>15000000</v>
      </c>
      <c r="AL119" s="961"/>
      <c r="AM119" s="336" t="s">
        <v>1208</v>
      </c>
      <c r="AN119" s="354"/>
      <c r="AO119" s="341">
        <v>423293218</v>
      </c>
      <c r="AP119" s="342"/>
      <c r="AQ119" s="343"/>
      <c r="AR119" s="343"/>
      <c r="AS119" s="344"/>
      <c r="AT119" s="344"/>
      <c r="AU119" s="336"/>
      <c r="AV119" s="336"/>
    </row>
    <row r="120" spans="1:48" s="214" customFormat="1">
      <c r="B120" s="337" t="s">
        <v>1369</v>
      </c>
      <c r="C120" s="336" t="s">
        <v>1367</v>
      </c>
      <c r="D120" s="336"/>
      <c r="E120" s="339"/>
      <c r="F120" s="336"/>
      <c r="G120" s="336"/>
      <c r="H120" s="336"/>
      <c r="I120" s="336"/>
      <c r="J120" s="336"/>
      <c r="K120" s="336" t="s">
        <v>1196</v>
      </c>
      <c r="L120" s="336">
        <v>42</v>
      </c>
      <c r="M120" s="339"/>
      <c r="N120" s="336"/>
      <c r="O120" s="339"/>
      <c r="P120" s="339"/>
      <c r="Q120" s="353"/>
      <c r="R120" s="353"/>
      <c r="S120" s="353"/>
      <c r="T120" s="353"/>
      <c r="U120" s="953">
        <v>25000000</v>
      </c>
      <c r="V120" s="953">
        <f t="shared" si="16"/>
        <v>275000000</v>
      </c>
      <c r="W120" s="341">
        <v>20000000</v>
      </c>
      <c r="X120" s="341">
        <f t="shared" si="17"/>
        <v>400000000</v>
      </c>
      <c r="Y120" s="340">
        <v>3000000</v>
      </c>
      <c r="Z120" s="340">
        <v>25000000</v>
      </c>
      <c r="AA120" s="341"/>
      <c r="AB120" s="341"/>
      <c r="AC120" s="341"/>
      <c r="AD120" s="341"/>
      <c r="AE120" s="341"/>
      <c r="AF120" s="341" t="s">
        <v>1329</v>
      </c>
      <c r="AG120" s="953">
        <v>500000</v>
      </c>
      <c r="AH120" s="341">
        <f>AG120*40</f>
        <v>20000000</v>
      </c>
      <c r="AI120" s="341">
        <v>49000000</v>
      </c>
      <c r="AJ120" s="341">
        <f t="shared" si="13"/>
        <v>74000000</v>
      </c>
      <c r="AK120" s="340">
        <v>15000000</v>
      </c>
      <c r="AL120" s="961"/>
      <c r="AM120" s="341" t="s">
        <v>1024</v>
      </c>
      <c r="AN120" s="354"/>
      <c r="AO120" s="341">
        <v>423293218</v>
      </c>
      <c r="AP120" s="342"/>
      <c r="AQ120" s="343"/>
      <c r="AR120" s="343"/>
      <c r="AS120" s="344"/>
      <c r="AT120" s="344"/>
      <c r="AU120" s="336"/>
      <c r="AV120" s="336"/>
    </row>
    <row r="121" spans="1:48" s="214" customFormat="1">
      <c r="B121" s="337" t="s">
        <v>1370</v>
      </c>
      <c r="C121" s="336" t="s">
        <v>1367</v>
      </c>
      <c r="D121" s="336"/>
      <c r="E121" s="339"/>
      <c r="F121" s="336"/>
      <c r="G121" s="336"/>
      <c r="H121" s="336"/>
      <c r="I121" s="336"/>
      <c r="J121" s="336"/>
      <c r="K121" s="336" t="s">
        <v>1196</v>
      </c>
      <c r="L121" s="336">
        <v>42</v>
      </c>
      <c r="M121" s="339"/>
      <c r="N121" s="336"/>
      <c r="O121" s="339"/>
      <c r="P121" s="339"/>
      <c r="Q121" s="353"/>
      <c r="R121" s="353"/>
      <c r="S121" s="353"/>
      <c r="T121" s="353"/>
      <c r="U121" s="953">
        <v>25000000</v>
      </c>
      <c r="V121" s="953">
        <f t="shared" si="16"/>
        <v>275000000</v>
      </c>
      <c r="W121" s="341">
        <v>19000000</v>
      </c>
      <c r="X121" s="341">
        <f t="shared" si="17"/>
        <v>380000000</v>
      </c>
      <c r="Y121" s="340">
        <v>3000000</v>
      </c>
      <c r="Z121" s="340">
        <v>25000000</v>
      </c>
      <c r="AA121" s="341"/>
      <c r="AB121" s="341"/>
      <c r="AC121" s="341"/>
      <c r="AD121" s="341"/>
      <c r="AE121" s="341"/>
      <c r="AF121" s="341" t="s">
        <v>1371</v>
      </c>
      <c r="AG121" s="954" t="s">
        <v>1218</v>
      </c>
      <c r="AH121" s="341">
        <v>39250000</v>
      </c>
      <c r="AI121" s="341">
        <v>34000000</v>
      </c>
      <c r="AJ121" s="341">
        <f t="shared" si="13"/>
        <v>59000000</v>
      </c>
      <c r="AK121" s="340">
        <v>15000000</v>
      </c>
      <c r="AL121" s="961"/>
      <c r="AM121" s="341" t="s">
        <v>1024</v>
      </c>
      <c r="AN121" s="354"/>
      <c r="AO121" s="341">
        <v>423293218</v>
      </c>
      <c r="AP121" s="342"/>
      <c r="AQ121" s="343"/>
      <c r="AR121" s="343"/>
      <c r="AS121" s="344"/>
      <c r="AT121" s="344"/>
      <c r="AU121" s="336"/>
      <c r="AV121" s="336"/>
    </row>
    <row r="122" spans="1:48" s="214" customFormat="1">
      <c r="B122" s="337" t="s">
        <v>1372</v>
      </c>
      <c r="C122" s="336" t="s">
        <v>1367</v>
      </c>
      <c r="D122" s="336"/>
      <c r="E122" s="339"/>
      <c r="F122" s="336"/>
      <c r="G122" s="336"/>
      <c r="H122" s="336"/>
      <c r="I122" s="336"/>
      <c r="J122" s="336"/>
      <c r="K122" s="336" t="s">
        <v>1196</v>
      </c>
      <c r="L122" s="336">
        <v>42</v>
      </c>
      <c r="M122" s="339"/>
      <c r="N122" s="336"/>
      <c r="O122" s="339"/>
      <c r="P122" s="339"/>
      <c r="Q122" s="353"/>
      <c r="R122" s="353"/>
      <c r="S122" s="353"/>
      <c r="T122" s="353"/>
      <c r="U122" s="953">
        <v>25000000</v>
      </c>
      <c r="V122" s="953">
        <f t="shared" si="16"/>
        <v>275000000</v>
      </c>
      <c r="W122" s="341">
        <v>17000000</v>
      </c>
      <c r="X122" s="341">
        <f t="shared" si="17"/>
        <v>340000000</v>
      </c>
      <c r="Y122" s="340">
        <v>3000000</v>
      </c>
      <c r="Z122" s="340">
        <v>25000000</v>
      </c>
      <c r="AA122" s="341"/>
      <c r="AB122" s="341"/>
      <c r="AC122" s="341"/>
      <c r="AD122" s="341"/>
      <c r="AE122" s="341"/>
      <c r="AF122" s="341" t="s">
        <v>1264</v>
      </c>
      <c r="AG122" s="954" t="s">
        <v>1218</v>
      </c>
      <c r="AH122" s="341">
        <v>18500000</v>
      </c>
      <c r="AI122" s="341">
        <v>50500000</v>
      </c>
      <c r="AJ122" s="341">
        <f t="shared" si="13"/>
        <v>75500000</v>
      </c>
      <c r="AK122" s="340">
        <v>15000000</v>
      </c>
      <c r="AL122" s="961"/>
      <c r="AM122" s="341" t="s">
        <v>1024</v>
      </c>
      <c r="AN122" s="354"/>
      <c r="AO122" s="341">
        <v>423293218</v>
      </c>
      <c r="AP122" s="342"/>
      <c r="AQ122" s="343"/>
      <c r="AR122" s="343"/>
      <c r="AS122" s="344"/>
      <c r="AT122" s="344"/>
      <c r="AU122" s="336"/>
      <c r="AV122" s="336"/>
    </row>
    <row r="123" spans="1:48" s="214" customFormat="1">
      <c r="B123" s="337" t="s">
        <v>1373</v>
      </c>
      <c r="C123" s="336" t="s">
        <v>1374</v>
      </c>
      <c r="D123" s="336"/>
      <c r="E123" s="339"/>
      <c r="F123" s="336"/>
      <c r="G123" s="336"/>
      <c r="H123" s="336"/>
      <c r="I123" s="336"/>
      <c r="J123" s="336"/>
      <c r="K123" s="336" t="s">
        <v>1196</v>
      </c>
      <c r="L123" s="336">
        <v>32</v>
      </c>
      <c r="M123" s="339"/>
      <c r="N123" s="336"/>
      <c r="O123" s="339"/>
      <c r="P123" s="339"/>
      <c r="Q123" s="353"/>
      <c r="R123" s="353"/>
      <c r="S123" s="353"/>
      <c r="T123" s="353"/>
      <c r="U123" s="960">
        <v>35000000</v>
      </c>
      <c r="V123" s="953">
        <f t="shared" si="16"/>
        <v>385000000</v>
      </c>
      <c r="W123" s="341">
        <v>26000000</v>
      </c>
      <c r="X123" s="341">
        <f t="shared" si="17"/>
        <v>520000000</v>
      </c>
      <c r="Y123" s="340">
        <v>3000000</v>
      </c>
      <c r="Z123" s="340">
        <v>25700000</v>
      </c>
      <c r="AA123" s="341"/>
      <c r="AB123" s="341"/>
      <c r="AC123" s="341"/>
      <c r="AD123" s="341"/>
      <c r="AE123" s="341"/>
      <c r="AF123" s="341" t="s">
        <v>1293</v>
      </c>
      <c r="AG123" s="953">
        <v>1000000</v>
      </c>
      <c r="AH123" s="341">
        <f>AG123*14</f>
        <v>14000000</v>
      </c>
      <c r="AI123" s="341">
        <v>20000000</v>
      </c>
      <c r="AJ123" s="341">
        <f t="shared" si="13"/>
        <v>45700000</v>
      </c>
      <c r="AK123" s="340">
        <v>15000000</v>
      </c>
      <c r="AL123" s="961"/>
      <c r="AM123" s="336" t="s">
        <v>1262</v>
      </c>
      <c r="AN123" s="354"/>
      <c r="AO123" s="341">
        <v>504809896</v>
      </c>
      <c r="AP123" s="342">
        <v>60000000</v>
      </c>
      <c r="AQ123" s="343">
        <f>AN123+AK123+AJ123+AH123+AA123+Z123+Y123+X123</f>
        <v>623400000</v>
      </c>
      <c r="AR123" s="343">
        <f>AQ123+AO123</f>
        <v>1128209896</v>
      </c>
      <c r="AS123" s="344"/>
      <c r="AT123" s="344"/>
      <c r="AU123" s="336" t="s">
        <v>1199</v>
      </c>
      <c r="AV123" s="336"/>
    </row>
    <row r="124" spans="1:48" s="214" customFormat="1">
      <c r="B124" s="337" t="s">
        <v>1375</v>
      </c>
      <c r="C124" s="336" t="s">
        <v>1374</v>
      </c>
      <c r="D124" s="336"/>
      <c r="E124" s="339"/>
      <c r="F124" s="336"/>
      <c r="G124" s="336"/>
      <c r="H124" s="336"/>
      <c r="I124" s="336"/>
      <c r="J124" s="336"/>
      <c r="K124" s="336" t="s">
        <v>1196</v>
      </c>
      <c r="L124" s="336" t="s">
        <v>1376</v>
      </c>
      <c r="M124" s="339"/>
      <c r="N124" s="336"/>
      <c r="O124" s="339"/>
      <c r="P124" s="339"/>
      <c r="Q124" s="353"/>
      <c r="R124" s="353"/>
      <c r="S124" s="353"/>
      <c r="T124" s="353"/>
      <c r="U124" s="960">
        <v>35000000</v>
      </c>
      <c r="V124" s="953">
        <f t="shared" si="16"/>
        <v>385000000</v>
      </c>
      <c r="W124" s="341">
        <v>25000000</v>
      </c>
      <c r="X124" s="341">
        <f t="shared" si="17"/>
        <v>500000000</v>
      </c>
      <c r="Y124" s="340">
        <v>3000000</v>
      </c>
      <c r="Z124" s="355"/>
      <c r="AA124" s="341"/>
      <c r="AB124" s="341"/>
      <c r="AC124" s="341"/>
      <c r="AD124" s="341"/>
      <c r="AE124" s="341"/>
      <c r="AF124" s="341" t="s">
        <v>1278</v>
      </c>
      <c r="AG124" s="954">
        <v>1500000</v>
      </c>
      <c r="AH124" s="341">
        <f>AG124*12</f>
        <v>18000000</v>
      </c>
      <c r="AI124" s="341">
        <v>55000000</v>
      </c>
      <c r="AJ124" s="341">
        <f t="shared" si="13"/>
        <v>55000000</v>
      </c>
      <c r="AK124" s="340">
        <v>15000000</v>
      </c>
      <c r="AL124" s="961"/>
      <c r="AM124" s="336" t="s">
        <v>1377</v>
      </c>
      <c r="AN124" s="354"/>
      <c r="AO124" s="341">
        <v>504809896</v>
      </c>
      <c r="AP124" s="342"/>
      <c r="AQ124" s="343"/>
      <c r="AR124" s="343"/>
      <c r="AS124" s="344"/>
      <c r="AT124" s="344"/>
      <c r="AU124" s="336"/>
      <c r="AV124" s="336"/>
    </row>
    <row r="125" spans="1:48" s="214" customFormat="1">
      <c r="B125" s="337" t="s">
        <v>599</v>
      </c>
      <c r="C125" s="336" t="s">
        <v>1374</v>
      </c>
      <c r="D125" s="336"/>
      <c r="E125" s="339"/>
      <c r="F125" s="336"/>
      <c r="G125" s="336"/>
      <c r="H125" s="336"/>
      <c r="I125" s="336"/>
      <c r="J125" s="336"/>
      <c r="K125" s="336" t="s">
        <v>1118</v>
      </c>
      <c r="L125" s="336">
        <v>20</v>
      </c>
      <c r="M125" s="339"/>
      <c r="N125" s="336"/>
      <c r="O125" s="339"/>
      <c r="P125" s="339"/>
      <c r="Q125" s="353"/>
      <c r="R125" s="353"/>
      <c r="S125" s="353"/>
      <c r="T125" s="353"/>
      <c r="U125" s="960">
        <v>35000000</v>
      </c>
      <c r="V125" s="953">
        <f t="shared" si="16"/>
        <v>385000000</v>
      </c>
      <c r="W125" s="341">
        <v>15000000</v>
      </c>
      <c r="X125" s="341">
        <f t="shared" si="17"/>
        <v>300000000</v>
      </c>
      <c r="Y125" s="340">
        <v>3000000</v>
      </c>
      <c r="Z125" s="340">
        <v>15000000</v>
      </c>
      <c r="AA125" s="341"/>
      <c r="AB125" s="341"/>
      <c r="AC125" s="341"/>
      <c r="AD125" s="341"/>
      <c r="AE125" s="341"/>
      <c r="AF125" s="341" t="s">
        <v>1243</v>
      </c>
      <c r="AG125" s="953">
        <v>1500000</v>
      </c>
      <c r="AH125" s="341">
        <f>11*1500000</f>
        <v>16500000</v>
      </c>
      <c r="AI125" s="341">
        <v>35500000</v>
      </c>
      <c r="AJ125" s="341">
        <f t="shared" si="13"/>
        <v>50500000</v>
      </c>
      <c r="AK125" s="340">
        <v>15000000</v>
      </c>
      <c r="AL125" s="961"/>
      <c r="AM125" s="336" t="s">
        <v>1378</v>
      </c>
      <c r="AN125" s="354"/>
      <c r="AO125" s="341">
        <v>170000000</v>
      </c>
      <c r="AP125" s="342"/>
      <c r="AQ125" s="343"/>
      <c r="AR125" s="343"/>
      <c r="AS125" s="344"/>
      <c r="AT125" s="344"/>
      <c r="AU125" s="336"/>
      <c r="AV125" s="336"/>
    </row>
    <row r="126" spans="1:48" s="214" customFormat="1">
      <c r="B126" s="337" t="s">
        <v>1379</v>
      </c>
      <c r="C126" s="336" t="s">
        <v>1374</v>
      </c>
      <c r="D126" s="336"/>
      <c r="E126" s="339"/>
      <c r="F126" s="336"/>
      <c r="G126" s="336"/>
      <c r="H126" s="336"/>
      <c r="I126" s="336"/>
      <c r="J126" s="336"/>
      <c r="K126" s="336" t="s">
        <v>1118</v>
      </c>
      <c r="L126" s="336">
        <v>20</v>
      </c>
      <c r="M126" s="339"/>
      <c r="N126" s="336"/>
      <c r="O126" s="339"/>
      <c r="P126" s="339"/>
      <c r="Q126" s="353"/>
      <c r="R126" s="353"/>
      <c r="S126" s="353"/>
      <c r="T126" s="353"/>
      <c r="U126" s="960">
        <v>35000000</v>
      </c>
      <c r="V126" s="953">
        <f t="shared" si="16"/>
        <v>385000000</v>
      </c>
      <c r="W126" s="341">
        <v>20000000</v>
      </c>
      <c r="X126" s="341">
        <f t="shared" si="17"/>
        <v>400000000</v>
      </c>
      <c r="Y126" s="340">
        <v>3000000</v>
      </c>
      <c r="Z126" s="340">
        <v>15000000</v>
      </c>
      <c r="AA126" s="341"/>
      <c r="AB126" s="341"/>
      <c r="AC126" s="341"/>
      <c r="AD126" s="341"/>
      <c r="AE126" s="341"/>
      <c r="AF126" s="341" t="s">
        <v>1306</v>
      </c>
      <c r="AG126" s="953">
        <v>500000</v>
      </c>
      <c r="AH126" s="341">
        <f>AG126*19</f>
        <v>9500000</v>
      </c>
      <c r="AI126" s="341">
        <v>65500000</v>
      </c>
      <c r="AJ126" s="341">
        <f t="shared" si="13"/>
        <v>80500000</v>
      </c>
      <c r="AK126" s="340">
        <v>15000000</v>
      </c>
      <c r="AL126" s="961"/>
      <c r="AM126" s="336" t="s">
        <v>1378</v>
      </c>
      <c r="AN126" s="354"/>
      <c r="AO126" s="341">
        <v>170000000</v>
      </c>
      <c r="AP126" s="342"/>
      <c r="AQ126" s="343"/>
      <c r="AR126" s="343"/>
      <c r="AS126" s="344"/>
      <c r="AT126" s="344"/>
      <c r="AU126" s="336"/>
      <c r="AV126" s="336"/>
    </row>
    <row r="127" spans="1:48" s="214" customFormat="1">
      <c r="B127" s="337" t="s">
        <v>1380</v>
      </c>
      <c r="C127" s="336" t="s">
        <v>1374</v>
      </c>
      <c r="D127" s="336"/>
      <c r="E127" s="339"/>
      <c r="F127" s="336"/>
      <c r="G127" s="336"/>
      <c r="H127" s="336"/>
      <c r="I127" s="336"/>
      <c r="J127" s="336"/>
      <c r="K127" s="336" t="s">
        <v>1196</v>
      </c>
      <c r="L127" s="336">
        <v>32</v>
      </c>
      <c r="M127" s="339"/>
      <c r="N127" s="336"/>
      <c r="O127" s="339"/>
      <c r="P127" s="339"/>
      <c r="Q127" s="353"/>
      <c r="R127" s="353"/>
      <c r="S127" s="353"/>
      <c r="T127" s="353"/>
      <c r="U127" s="960">
        <v>35000000</v>
      </c>
      <c r="V127" s="953">
        <f t="shared" si="16"/>
        <v>385000000</v>
      </c>
      <c r="W127" s="341">
        <v>24000000</v>
      </c>
      <c r="X127" s="341">
        <f t="shared" si="17"/>
        <v>480000000</v>
      </c>
      <c r="Y127" s="340">
        <v>3000000</v>
      </c>
      <c r="Z127" s="340">
        <v>25000000</v>
      </c>
      <c r="AA127" s="341"/>
      <c r="AB127" s="341"/>
      <c r="AC127" s="341"/>
      <c r="AD127" s="341"/>
      <c r="AE127" s="341"/>
      <c r="AF127" s="341" t="s">
        <v>1329</v>
      </c>
      <c r="AG127" s="953">
        <v>750000</v>
      </c>
      <c r="AH127" s="341">
        <f>AG127*40</f>
        <v>30000000</v>
      </c>
      <c r="AI127" s="341">
        <v>44000000</v>
      </c>
      <c r="AJ127" s="341">
        <f t="shared" si="13"/>
        <v>69000000</v>
      </c>
      <c r="AK127" s="340">
        <v>15000000</v>
      </c>
      <c r="AL127" s="961"/>
      <c r="AM127" s="336" t="s">
        <v>1262</v>
      </c>
      <c r="AN127" s="354"/>
      <c r="AO127" s="341">
        <v>504809896</v>
      </c>
      <c r="AP127" s="342"/>
      <c r="AQ127" s="343"/>
      <c r="AR127" s="343"/>
      <c r="AS127" s="344"/>
      <c r="AT127" s="344"/>
      <c r="AU127" s="336"/>
      <c r="AV127" s="336"/>
    </row>
    <row r="128" spans="1:48" s="214" customFormat="1">
      <c r="B128" s="337" t="s">
        <v>1381</v>
      </c>
      <c r="C128" s="336" t="s">
        <v>1374</v>
      </c>
      <c r="D128" s="336"/>
      <c r="E128" s="339"/>
      <c r="F128" s="336"/>
      <c r="G128" s="336"/>
      <c r="H128" s="336"/>
      <c r="I128" s="336"/>
      <c r="J128" s="336"/>
      <c r="K128" s="336" t="s">
        <v>1118</v>
      </c>
      <c r="L128" s="336">
        <v>25</v>
      </c>
      <c r="M128" s="339"/>
      <c r="N128" s="336"/>
      <c r="O128" s="339"/>
      <c r="P128" s="339"/>
      <c r="Q128" s="353"/>
      <c r="R128" s="353"/>
      <c r="S128" s="353"/>
      <c r="T128" s="353"/>
      <c r="U128" s="960">
        <v>35000000</v>
      </c>
      <c r="V128" s="953">
        <f t="shared" si="16"/>
        <v>385000000</v>
      </c>
      <c r="W128" s="341">
        <v>17000000</v>
      </c>
      <c r="X128" s="341">
        <f t="shared" si="17"/>
        <v>340000000</v>
      </c>
      <c r="Y128" s="340">
        <v>3000000</v>
      </c>
      <c r="Z128" s="340">
        <v>15000000</v>
      </c>
      <c r="AA128" s="341"/>
      <c r="AB128" s="341"/>
      <c r="AC128" s="341"/>
      <c r="AD128" s="341"/>
      <c r="AE128" s="341"/>
      <c r="AF128" s="341" t="s">
        <v>1278</v>
      </c>
      <c r="AG128" s="953">
        <v>1500000</v>
      </c>
      <c r="AH128" s="341">
        <f>AG128*12</f>
        <v>18000000</v>
      </c>
      <c r="AI128" s="341">
        <v>36000000</v>
      </c>
      <c r="AJ128" s="341">
        <f t="shared" si="13"/>
        <v>51000000</v>
      </c>
      <c r="AK128" s="340">
        <v>15000000</v>
      </c>
      <c r="AL128" s="961"/>
      <c r="AM128" s="336" t="s">
        <v>1382</v>
      </c>
      <c r="AN128" s="354"/>
      <c r="AO128" s="341"/>
      <c r="AP128" s="342"/>
      <c r="AQ128" s="343"/>
      <c r="AR128" s="343"/>
      <c r="AS128" s="344"/>
      <c r="AT128" s="344"/>
      <c r="AU128" s="336"/>
      <c r="AV128" s="336"/>
    </row>
    <row r="129" spans="2:48" s="214" customFormat="1">
      <c r="B129" s="337" t="s">
        <v>1383</v>
      </c>
      <c r="C129" s="336" t="s">
        <v>1374</v>
      </c>
      <c r="D129" s="336"/>
      <c r="E129" s="339"/>
      <c r="F129" s="336"/>
      <c r="G129" s="336"/>
      <c r="H129" s="336"/>
      <c r="I129" s="336"/>
      <c r="J129" s="336"/>
      <c r="K129" s="336" t="s">
        <v>1196</v>
      </c>
      <c r="L129" s="336">
        <v>42</v>
      </c>
      <c r="M129" s="339"/>
      <c r="N129" s="336"/>
      <c r="O129" s="339"/>
      <c r="P129" s="339"/>
      <c r="Q129" s="353"/>
      <c r="R129" s="353"/>
      <c r="S129" s="353"/>
      <c r="T129" s="353"/>
      <c r="U129" s="960">
        <v>35000000</v>
      </c>
      <c r="V129" s="953">
        <f t="shared" si="16"/>
        <v>385000000</v>
      </c>
      <c r="W129" s="341">
        <v>20000000</v>
      </c>
      <c r="X129" s="341">
        <f t="shared" si="17"/>
        <v>400000000</v>
      </c>
      <c r="Y129" s="340">
        <v>3000000</v>
      </c>
      <c r="Z129" s="340">
        <v>25000000</v>
      </c>
      <c r="AA129" s="341"/>
      <c r="AB129" s="341"/>
      <c r="AC129" s="341"/>
      <c r="AD129" s="341"/>
      <c r="AE129" s="341"/>
      <c r="AF129" s="341" t="s">
        <v>1135</v>
      </c>
      <c r="AG129" s="953">
        <v>700000</v>
      </c>
      <c r="AH129" s="341">
        <f>AG129*30</f>
        <v>21000000</v>
      </c>
      <c r="AI129" s="341">
        <v>53000000</v>
      </c>
      <c r="AJ129" s="341">
        <f t="shared" si="13"/>
        <v>78000000</v>
      </c>
      <c r="AK129" s="340">
        <v>15000000</v>
      </c>
      <c r="AL129" s="961"/>
      <c r="AM129" s="336" t="s">
        <v>1024</v>
      </c>
      <c r="AN129" s="354"/>
      <c r="AO129" s="341">
        <v>353505181</v>
      </c>
      <c r="AP129" s="342"/>
      <c r="AQ129" s="343"/>
      <c r="AR129" s="343"/>
      <c r="AS129" s="344"/>
      <c r="AT129" s="344"/>
      <c r="AU129" s="336"/>
      <c r="AV129" s="336"/>
    </row>
    <row r="130" spans="2:48" s="214" customFormat="1">
      <c r="B130" s="337" t="s">
        <v>1384</v>
      </c>
      <c r="C130" s="336" t="s">
        <v>1374</v>
      </c>
      <c r="D130" s="336"/>
      <c r="E130" s="339"/>
      <c r="F130" s="336"/>
      <c r="G130" s="336"/>
      <c r="H130" s="336"/>
      <c r="I130" s="336"/>
      <c r="J130" s="336"/>
      <c r="K130" s="336" t="s">
        <v>1118</v>
      </c>
      <c r="L130" s="336">
        <v>20</v>
      </c>
      <c r="M130" s="339"/>
      <c r="N130" s="336"/>
      <c r="O130" s="339"/>
      <c r="P130" s="339"/>
      <c r="Q130" s="353"/>
      <c r="R130" s="353"/>
      <c r="S130" s="353"/>
      <c r="T130" s="353"/>
      <c r="U130" s="960">
        <v>35000000</v>
      </c>
      <c r="V130" s="953">
        <f t="shared" si="16"/>
        <v>385000000</v>
      </c>
      <c r="W130" s="341">
        <v>19000000</v>
      </c>
      <c r="X130" s="341">
        <f t="shared" si="17"/>
        <v>380000000</v>
      </c>
      <c r="Y130" s="340">
        <v>3000000</v>
      </c>
      <c r="Z130" s="340">
        <v>15000000</v>
      </c>
      <c r="AA130" s="341"/>
      <c r="AB130" s="341"/>
      <c r="AC130" s="341"/>
      <c r="AD130" s="341"/>
      <c r="AE130" s="341"/>
      <c r="AF130" s="341" t="s">
        <v>1363</v>
      </c>
      <c r="AG130" s="953">
        <v>500000</v>
      </c>
      <c r="AH130" s="341">
        <f>AG130*7</f>
        <v>3500000</v>
      </c>
      <c r="AI130" s="341">
        <v>76500000</v>
      </c>
      <c r="AJ130" s="341">
        <f t="shared" si="13"/>
        <v>91500000</v>
      </c>
      <c r="AK130" s="340">
        <v>15000000</v>
      </c>
      <c r="AL130" s="961"/>
      <c r="AM130" s="336" t="s">
        <v>1378</v>
      </c>
      <c r="AN130" s="354"/>
      <c r="AO130" s="341">
        <v>140000000</v>
      </c>
      <c r="AP130" s="342"/>
      <c r="AQ130" s="343"/>
      <c r="AR130" s="343"/>
      <c r="AS130" s="344"/>
      <c r="AT130" s="344"/>
      <c r="AU130" s="336"/>
      <c r="AV130" s="336"/>
    </row>
    <row r="131" spans="2:48" s="214" customFormat="1">
      <c r="B131" s="337" t="s">
        <v>1385</v>
      </c>
      <c r="C131" s="336" t="s">
        <v>1374</v>
      </c>
      <c r="D131" s="336"/>
      <c r="E131" s="339"/>
      <c r="F131" s="336"/>
      <c r="G131" s="336"/>
      <c r="H131" s="336"/>
      <c r="I131" s="336"/>
      <c r="J131" s="336"/>
      <c r="K131" s="336" t="s">
        <v>1118</v>
      </c>
      <c r="L131" s="336">
        <v>20</v>
      </c>
      <c r="M131" s="339"/>
      <c r="N131" s="336"/>
      <c r="O131" s="339"/>
      <c r="P131" s="339"/>
      <c r="Q131" s="353"/>
      <c r="R131" s="353"/>
      <c r="S131" s="353"/>
      <c r="T131" s="353"/>
      <c r="U131" s="960">
        <v>35000000</v>
      </c>
      <c r="V131" s="953">
        <f t="shared" si="16"/>
        <v>385000000</v>
      </c>
      <c r="W131" s="341">
        <v>18000000</v>
      </c>
      <c r="X131" s="341">
        <f t="shared" si="17"/>
        <v>360000000</v>
      </c>
      <c r="Y131" s="340">
        <v>3000000</v>
      </c>
      <c r="Z131" s="340">
        <v>15000000</v>
      </c>
      <c r="AA131" s="341"/>
      <c r="AB131" s="341"/>
      <c r="AC131" s="341"/>
      <c r="AD131" s="341"/>
      <c r="AE131" s="341"/>
      <c r="AF131" s="341" t="s">
        <v>1281</v>
      </c>
      <c r="AG131" s="953">
        <v>500000</v>
      </c>
      <c r="AH131" s="341">
        <f>AG131*17</f>
        <v>8500000</v>
      </c>
      <c r="AI131" s="341">
        <v>65500000</v>
      </c>
      <c r="AJ131" s="341">
        <f t="shared" si="13"/>
        <v>80500000</v>
      </c>
      <c r="AK131" s="340">
        <v>15000000</v>
      </c>
      <c r="AL131" s="961"/>
      <c r="AM131" s="336" t="s">
        <v>1378</v>
      </c>
      <c r="AN131" s="354"/>
      <c r="AO131" s="341">
        <v>140000000</v>
      </c>
      <c r="AP131" s="342"/>
      <c r="AQ131" s="343"/>
      <c r="AR131" s="343"/>
      <c r="AS131" s="344"/>
      <c r="AT131" s="344"/>
      <c r="AU131" s="336"/>
      <c r="AV131" s="336"/>
    </row>
    <row r="132" spans="2:48" s="214" customFormat="1">
      <c r="B132" s="337" t="s">
        <v>1386</v>
      </c>
      <c r="C132" s="336" t="s">
        <v>1374</v>
      </c>
      <c r="D132" s="336"/>
      <c r="E132" s="339"/>
      <c r="F132" s="336"/>
      <c r="G132" s="336"/>
      <c r="H132" s="336"/>
      <c r="I132" s="336"/>
      <c r="J132" s="336"/>
      <c r="K132" s="336" t="s">
        <v>1118</v>
      </c>
      <c r="L132" s="336">
        <v>20</v>
      </c>
      <c r="M132" s="339"/>
      <c r="N132" s="336"/>
      <c r="O132" s="339"/>
      <c r="P132" s="339"/>
      <c r="Q132" s="353"/>
      <c r="R132" s="353"/>
      <c r="S132" s="353"/>
      <c r="T132" s="353"/>
      <c r="U132" s="960">
        <v>35000000</v>
      </c>
      <c r="V132" s="953">
        <f>U132*11</f>
        <v>385000000</v>
      </c>
      <c r="W132" s="341">
        <v>17000000</v>
      </c>
      <c r="X132" s="341">
        <f t="shared" si="17"/>
        <v>340000000</v>
      </c>
      <c r="Y132" s="340">
        <v>3000000</v>
      </c>
      <c r="Z132" s="340">
        <v>15000000</v>
      </c>
      <c r="AA132" s="341"/>
      <c r="AB132" s="341"/>
      <c r="AC132" s="341"/>
      <c r="AD132" s="341"/>
      <c r="AE132" s="341"/>
      <c r="AF132" s="341" t="s">
        <v>1246</v>
      </c>
      <c r="AG132" s="953">
        <v>500000</v>
      </c>
      <c r="AH132" s="341">
        <f>AG132*13</f>
        <v>6500000</v>
      </c>
      <c r="AI132" s="341">
        <v>63500000</v>
      </c>
      <c r="AJ132" s="341">
        <f t="shared" si="13"/>
        <v>78500000</v>
      </c>
      <c r="AK132" s="340">
        <v>15000000</v>
      </c>
      <c r="AL132" s="961"/>
      <c r="AM132" s="336" t="s">
        <v>1378</v>
      </c>
      <c r="AN132" s="354"/>
      <c r="AO132" s="341">
        <v>140000000</v>
      </c>
      <c r="AP132" s="342"/>
      <c r="AQ132" s="343"/>
      <c r="AR132" s="343"/>
      <c r="AS132" s="344"/>
      <c r="AT132" s="344"/>
      <c r="AU132" s="336"/>
      <c r="AV132" s="336"/>
    </row>
    <row r="133" spans="2:48" s="214" customFormat="1">
      <c r="B133" s="337" t="s">
        <v>1387</v>
      </c>
      <c r="C133" s="336" t="s">
        <v>35</v>
      </c>
      <c r="D133" s="336"/>
      <c r="E133" s="339"/>
      <c r="F133" s="336"/>
      <c r="G133" s="336"/>
      <c r="H133" s="336"/>
      <c r="I133" s="336"/>
      <c r="J133" s="336"/>
      <c r="K133" s="336" t="s">
        <v>1196</v>
      </c>
      <c r="L133" s="336">
        <v>26</v>
      </c>
      <c r="M133" s="339"/>
      <c r="N133" s="336"/>
      <c r="O133" s="339"/>
      <c r="P133" s="339"/>
      <c r="Q133" s="353"/>
      <c r="R133" s="353"/>
      <c r="S133" s="353"/>
      <c r="T133" s="353"/>
      <c r="U133" s="953"/>
      <c r="V133" s="953"/>
      <c r="W133" s="341">
        <v>40000000</v>
      </c>
      <c r="X133" s="341">
        <f t="shared" ref="X133:X143" si="18">W133*5</f>
        <v>200000000</v>
      </c>
      <c r="Y133" s="340">
        <v>3000000</v>
      </c>
      <c r="Z133" s="340">
        <v>25700000</v>
      </c>
      <c r="AA133" s="341"/>
      <c r="AB133" s="341"/>
      <c r="AC133" s="341"/>
      <c r="AD133" s="341"/>
      <c r="AE133" s="341"/>
      <c r="AF133" s="341" t="s">
        <v>1334</v>
      </c>
      <c r="AG133" s="953"/>
      <c r="AH133" s="341"/>
      <c r="AI133" s="341">
        <v>54300000</v>
      </c>
      <c r="AJ133" s="341">
        <f t="shared" si="13"/>
        <v>80000000</v>
      </c>
      <c r="AK133" s="340">
        <v>160000000</v>
      </c>
      <c r="AL133" s="961"/>
      <c r="AM133" s="336" t="s">
        <v>1388</v>
      </c>
      <c r="AN133" s="354"/>
      <c r="AO133" s="341">
        <v>477646529</v>
      </c>
      <c r="AP133" s="356"/>
      <c r="AQ133" s="343"/>
      <c r="AR133" s="343"/>
      <c r="AS133" s="344"/>
      <c r="AT133" s="344"/>
      <c r="AU133" s="336" t="s">
        <v>1199</v>
      </c>
      <c r="AV133" s="336"/>
    </row>
    <row r="134" spans="2:48" s="214" customFormat="1">
      <c r="B134" s="337" t="s">
        <v>60</v>
      </c>
      <c r="C134" s="336" t="s">
        <v>35</v>
      </c>
      <c r="D134" s="336"/>
      <c r="E134" s="339"/>
      <c r="F134" s="336"/>
      <c r="G134" s="336"/>
      <c r="H134" s="336"/>
      <c r="I134" s="336"/>
      <c r="J134" s="336"/>
      <c r="K134" s="336" t="s">
        <v>1118</v>
      </c>
      <c r="L134" s="336">
        <v>20</v>
      </c>
      <c r="M134" s="339"/>
      <c r="N134" s="336"/>
      <c r="O134" s="339"/>
      <c r="P134" s="339"/>
      <c r="Q134" s="353"/>
      <c r="R134" s="353"/>
      <c r="S134" s="353"/>
      <c r="T134" s="353"/>
      <c r="U134" s="953"/>
      <c r="V134" s="953"/>
      <c r="W134" s="341">
        <v>17000000</v>
      </c>
      <c r="X134" s="341">
        <f t="shared" si="18"/>
        <v>85000000</v>
      </c>
      <c r="Y134" s="340"/>
      <c r="Z134" s="340"/>
      <c r="AA134" s="341"/>
      <c r="AB134" s="341"/>
      <c r="AC134" s="341"/>
      <c r="AD134" s="341"/>
      <c r="AE134" s="341"/>
      <c r="AF134" s="341"/>
      <c r="AG134" s="953"/>
      <c r="AH134" s="341"/>
      <c r="AI134" s="341"/>
      <c r="AJ134" s="341">
        <f t="shared" si="13"/>
        <v>0</v>
      </c>
      <c r="AK134" s="340"/>
      <c r="AL134" s="961"/>
      <c r="AM134" s="336" t="s">
        <v>1351</v>
      </c>
      <c r="AN134" s="354"/>
      <c r="AO134" s="341">
        <v>140000000</v>
      </c>
      <c r="AP134" s="356"/>
      <c r="AQ134" s="343"/>
      <c r="AR134" s="343"/>
      <c r="AS134" s="344"/>
      <c r="AT134" s="344"/>
      <c r="AU134" s="336"/>
      <c r="AV134" s="336"/>
    </row>
    <row r="135" spans="2:48" s="214" customFormat="1">
      <c r="B135" s="357" t="s">
        <v>1389</v>
      </c>
      <c r="C135" s="336" t="s">
        <v>35</v>
      </c>
      <c r="D135" s="336"/>
      <c r="E135" s="339"/>
      <c r="F135" s="336"/>
      <c r="G135" s="336"/>
      <c r="H135" s="336"/>
      <c r="I135" s="336"/>
      <c r="J135" s="336"/>
      <c r="K135" s="336" t="s">
        <v>1118</v>
      </c>
      <c r="L135" s="336">
        <v>20</v>
      </c>
      <c r="M135" s="339"/>
      <c r="N135" s="336"/>
      <c r="O135" s="339"/>
      <c r="P135" s="339"/>
      <c r="Q135" s="353"/>
      <c r="R135" s="353"/>
      <c r="S135" s="353"/>
      <c r="T135" s="353"/>
      <c r="U135" s="953"/>
      <c r="V135" s="953"/>
      <c r="W135" s="341">
        <v>19000000</v>
      </c>
      <c r="X135" s="341">
        <f>W135*11</f>
        <v>209000000</v>
      </c>
      <c r="Y135" s="340"/>
      <c r="Z135" s="340"/>
      <c r="AA135" s="341"/>
      <c r="AB135" s="341"/>
      <c r="AC135" s="341"/>
      <c r="AD135" s="341"/>
      <c r="AE135" s="341"/>
      <c r="AF135" s="341"/>
      <c r="AG135" s="953"/>
      <c r="AH135" s="341"/>
      <c r="AI135" s="341"/>
      <c r="AJ135" s="341">
        <f t="shared" si="13"/>
        <v>0</v>
      </c>
      <c r="AK135" s="340"/>
      <c r="AL135" s="961"/>
      <c r="AM135" s="336" t="s">
        <v>1351</v>
      </c>
      <c r="AN135" s="354"/>
      <c r="AO135" s="341">
        <v>140000000</v>
      </c>
      <c r="AP135" s="356"/>
      <c r="AQ135" s="343"/>
      <c r="AR135" s="343"/>
      <c r="AS135" s="344"/>
      <c r="AT135" s="344"/>
      <c r="AU135" s="336"/>
      <c r="AV135" s="336"/>
    </row>
    <row r="136" spans="2:48" s="214" customFormat="1">
      <c r="B136" s="357" t="s">
        <v>1390</v>
      </c>
      <c r="C136" s="336" t="s">
        <v>35</v>
      </c>
      <c r="D136" s="336"/>
      <c r="E136" s="339"/>
      <c r="F136" s="336"/>
      <c r="G136" s="336"/>
      <c r="H136" s="336"/>
      <c r="I136" s="336"/>
      <c r="J136" s="336"/>
      <c r="K136" s="336" t="s">
        <v>1118</v>
      </c>
      <c r="L136" s="336">
        <v>20</v>
      </c>
      <c r="M136" s="339"/>
      <c r="N136" s="336"/>
      <c r="O136" s="339"/>
      <c r="P136" s="339"/>
      <c r="Q136" s="353"/>
      <c r="R136" s="353"/>
      <c r="S136" s="353"/>
      <c r="T136" s="353"/>
      <c r="U136" s="953"/>
      <c r="V136" s="953"/>
      <c r="W136" s="358">
        <f>X136/11</f>
        <v>18181818.181818184</v>
      </c>
      <c r="X136" s="341">
        <v>200000000</v>
      </c>
      <c r="Y136" s="340"/>
      <c r="Z136" s="340"/>
      <c r="AA136" s="341"/>
      <c r="AB136" s="341"/>
      <c r="AC136" s="341"/>
      <c r="AD136" s="341"/>
      <c r="AE136" s="341"/>
      <c r="AF136" s="341"/>
      <c r="AG136" s="953"/>
      <c r="AH136" s="341"/>
      <c r="AI136" s="341"/>
      <c r="AJ136" s="341"/>
      <c r="AK136" s="340"/>
      <c r="AL136" s="961"/>
      <c r="AM136" s="336" t="s">
        <v>1351</v>
      </c>
      <c r="AN136" s="354"/>
      <c r="AO136" s="341">
        <v>140000000</v>
      </c>
      <c r="AP136" s="356"/>
      <c r="AQ136" s="343"/>
      <c r="AR136" s="343"/>
      <c r="AS136" s="344"/>
      <c r="AT136" s="344"/>
      <c r="AU136" s="336"/>
      <c r="AV136" s="336"/>
    </row>
    <row r="137" spans="2:48" s="214" customFormat="1">
      <c r="B137" s="337" t="s">
        <v>1391</v>
      </c>
      <c r="C137" s="336" t="s">
        <v>1079</v>
      </c>
      <c r="D137" s="336"/>
      <c r="E137" s="339"/>
      <c r="F137" s="336"/>
      <c r="G137" s="336"/>
      <c r="H137" s="336"/>
      <c r="I137" s="336"/>
      <c r="J137" s="336"/>
      <c r="K137" s="336" t="s">
        <v>1118</v>
      </c>
      <c r="L137" s="336">
        <v>20</v>
      </c>
      <c r="M137" s="339"/>
      <c r="N137" s="336"/>
      <c r="O137" s="339"/>
      <c r="P137" s="339"/>
      <c r="Q137" s="353"/>
      <c r="R137" s="353"/>
      <c r="S137" s="353"/>
      <c r="T137" s="353"/>
      <c r="U137" s="953"/>
      <c r="V137" s="953"/>
      <c r="W137" s="341">
        <v>20000000</v>
      </c>
      <c r="X137" s="341">
        <f t="shared" si="18"/>
        <v>100000000</v>
      </c>
      <c r="Y137" s="340"/>
      <c r="Z137" s="340"/>
      <c r="AA137" s="341"/>
      <c r="AB137" s="341"/>
      <c r="AC137" s="341"/>
      <c r="AD137" s="341"/>
      <c r="AE137" s="341"/>
      <c r="AF137" s="341"/>
      <c r="AG137" s="953"/>
      <c r="AH137" s="341"/>
      <c r="AI137" s="341"/>
      <c r="AJ137" s="341">
        <f t="shared" si="13"/>
        <v>0</v>
      </c>
      <c r="AK137" s="340">
        <v>15000000</v>
      </c>
      <c r="AL137" s="961"/>
      <c r="AM137" s="336" t="s">
        <v>1351</v>
      </c>
      <c r="AN137" s="354"/>
      <c r="AO137" s="341">
        <v>140000000</v>
      </c>
      <c r="AP137" s="356"/>
      <c r="AQ137" s="343"/>
      <c r="AR137" s="343"/>
      <c r="AS137" s="344"/>
      <c r="AT137" s="344"/>
      <c r="AU137" s="336"/>
      <c r="AV137" s="336"/>
    </row>
    <row r="138" spans="2:48" s="214" customFormat="1">
      <c r="B138" s="337" t="s">
        <v>1392</v>
      </c>
      <c r="C138" s="336" t="s">
        <v>1079</v>
      </c>
      <c r="D138" s="336"/>
      <c r="E138" s="339"/>
      <c r="F138" s="336"/>
      <c r="G138" s="336"/>
      <c r="H138" s="336"/>
      <c r="I138" s="336"/>
      <c r="J138" s="336"/>
      <c r="K138" s="336" t="s">
        <v>1118</v>
      </c>
      <c r="L138" s="336">
        <v>21</v>
      </c>
      <c r="M138" s="339"/>
      <c r="N138" s="336"/>
      <c r="O138" s="339"/>
      <c r="P138" s="339"/>
      <c r="Q138" s="353"/>
      <c r="R138" s="353"/>
      <c r="S138" s="353"/>
      <c r="T138" s="353"/>
      <c r="U138" s="953"/>
      <c r="V138" s="953"/>
      <c r="W138" s="341">
        <v>19000000</v>
      </c>
      <c r="X138" s="341">
        <f>W138*10</f>
        <v>190000000</v>
      </c>
      <c r="Y138" s="340"/>
      <c r="Z138" s="340"/>
      <c r="AA138" s="341"/>
      <c r="AB138" s="341"/>
      <c r="AC138" s="341"/>
      <c r="AD138" s="341"/>
      <c r="AE138" s="341"/>
      <c r="AF138" s="341"/>
      <c r="AG138" s="953"/>
      <c r="AH138" s="341"/>
      <c r="AI138" s="341"/>
      <c r="AJ138" s="341">
        <f t="shared" si="13"/>
        <v>0</v>
      </c>
      <c r="AK138" s="340"/>
      <c r="AL138" s="961"/>
      <c r="AM138" s="336" t="s">
        <v>1393</v>
      </c>
      <c r="AN138" s="354"/>
      <c r="AO138" s="341"/>
      <c r="AP138" s="356"/>
      <c r="AQ138" s="343"/>
      <c r="AR138" s="343"/>
      <c r="AS138" s="344"/>
      <c r="AT138" s="344"/>
      <c r="AU138" s="336"/>
      <c r="AV138" s="336"/>
    </row>
    <row r="139" spans="2:48" s="214" customFormat="1">
      <c r="B139" s="337" t="s">
        <v>1394</v>
      </c>
      <c r="C139" s="336" t="s">
        <v>1079</v>
      </c>
      <c r="D139" s="336"/>
      <c r="E139" s="339"/>
      <c r="F139" s="336"/>
      <c r="G139" s="336"/>
      <c r="H139" s="336"/>
      <c r="I139" s="336"/>
      <c r="J139" s="336"/>
      <c r="K139" s="336" t="s">
        <v>1118</v>
      </c>
      <c r="L139" s="336">
        <v>20</v>
      </c>
      <c r="M139" s="339"/>
      <c r="N139" s="336"/>
      <c r="O139" s="339"/>
      <c r="P139" s="339"/>
      <c r="Q139" s="353"/>
      <c r="R139" s="353"/>
      <c r="S139" s="353"/>
      <c r="T139" s="353"/>
      <c r="U139" s="953"/>
      <c r="V139" s="953"/>
      <c r="W139" s="341">
        <v>18000000</v>
      </c>
      <c r="X139" s="341">
        <f t="shared" si="18"/>
        <v>90000000</v>
      </c>
      <c r="Y139" s="340"/>
      <c r="Z139" s="340"/>
      <c r="AA139" s="341"/>
      <c r="AB139" s="341"/>
      <c r="AC139" s="341"/>
      <c r="AD139" s="341"/>
      <c r="AE139" s="341"/>
      <c r="AF139" s="341"/>
      <c r="AG139" s="953"/>
      <c r="AH139" s="341"/>
      <c r="AI139" s="341"/>
      <c r="AJ139" s="341">
        <f t="shared" si="13"/>
        <v>0</v>
      </c>
      <c r="AK139" s="340"/>
      <c r="AL139" s="961"/>
      <c r="AM139" s="336" t="s">
        <v>1351</v>
      </c>
      <c r="AN139" s="354"/>
      <c r="AO139" s="341">
        <v>140000000</v>
      </c>
      <c r="AP139" s="356"/>
      <c r="AQ139" s="343"/>
      <c r="AR139" s="343"/>
      <c r="AS139" s="344"/>
      <c r="AT139" s="344"/>
      <c r="AU139" s="336"/>
      <c r="AV139" s="336"/>
    </row>
    <row r="140" spans="2:48" s="214" customFormat="1">
      <c r="B140" s="337" t="s">
        <v>1395</v>
      </c>
      <c r="C140" s="336" t="s">
        <v>1079</v>
      </c>
      <c r="D140" s="336"/>
      <c r="E140" s="339"/>
      <c r="F140" s="336"/>
      <c r="G140" s="336"/>
      <c r="H140" s="336"/>
      <c r="I140" s="336"/>
      <c r="J140" s="336"/>
      <c r="K140" s="336" t="s">
        <v>1118</v>
      </c>
      <c r="L140" s="336">
        <v>25</v>
      </c>
      <c r="M140" s="339"/>
      <c r="N140" s="336"/>
      <c r="O140" s="339"/>
      <c r="P140" s="339"/>
      <c r="Q140" s="353"/>
      <c r="R140" s="353"/>
      <c r="S140" s="353"/>
      <c r="T140" s="353"/>
      <c r="U140" s="953"/>
      <c r="V140" s="953"/>
      <c r="W140" s="341">
        <v>17000000</v>
      </c>
      <c r="X140" s="341">
        <f t="shared" si="18"/>
        <v>85000000</v>
      </c>
      <c r="Y140" s="340"/>
      <c r="Z140" s="340"/>
      <c r="AA140" s="341"/>
      <c r="AB140" s="341"/>
      <c r="AC140" s="341"/>
      <c r="AD140" s="341"/>
      <c r="AE140" s="341"/>
      <c r="AF140" s="341"/>
      <c r="AG140" s="953"/>
      <c r="AH140" s="341"/>
      <c r="AI140" s="341"/>
      <c r="AJ140" s="341">
        <f t="shared" si="13"/>
        <v>0</v>
      </c>
      <c r="AK140" s="340"/>
      <c r="AL140" s="961"/>
      <c r="AM140" s="336" t="s">
        <v>1354</v>
      </c>
      <c r="AN140" s="354"/>
      <c r="AO140" s="341">
        <v>140000000</v>
      </c>
      <c r="AP140" s="356"/>
      <c r="AQ140" s="343"/>
      <c r="AR140" s="343"/>
      <c r="AS140" s="344"/>
      <c r="AT140" s="344"/>
      <c r="AU140" s="336"/>
      <c r="AV140" s="336"/>
    </row>
    <row r="141" spans="2:48" s="214" customFormat="1">
      <c r="B141" s="359" t="s">
        <v>1396</v>
      </c>
      <c r="C141" s="336" t="s">
        <v>1079</v>
      </c>
      <c r="D141" s="336"/>
      <c r="E141" s="339"/>
      <c r="F141" s="336"/>
      <c r="G141" s="336"/>
      <c r="H141" s="336"/>
      <c r="I141" s="336"/>
      <c r="J141" s="336"/>
      <c r="K141" s="336" t="s">
        <v>1118</v>
      </c>
      <c r="L141" s="336">
        <v>25</v>
      </c>
      <c r="M141" s="339"/>
      <c r="N141" s="336"/>
      <c r="O141" s="339"/>
      <c r="P141" s="339"/>
      <c r="Q141" s="353"/>
      <c r="R141" s="353"/>
      <c r="S141" s="353"/>
      <c r="T141" s="353"/>
      <c r="U141" s="953"/>
      <c r="V141" s="953"/>
      <c r="W141" s="341">
        <v>17000000</v>
      </c>
      <c r="X141" s="341">
        <f t="shared" si="18"/>
        <v>85000000</v>
      </c>
      <c r="Y141" s="340"/>
      <c r="Z141" s="340"/>
      <c r="AA141" s="341"/>
      <c r="AB141" s="341"/>
      <c r="AC141" s="341"/>
      <c r="AD141" s="341"/>
      <c r="AE141" s="341"/>
      <c r="AF141" s="341"/>
      <c r="AG141" s="953"/>
      <c r="AH141" s="341"/>
      <c r="AI141" s="341"/>
      <c r="AJ141" s="341">
        <f t="shared" si="13"/>
        <v>0</v>
      </c>
      <c r="AK141" s="340"/>
      <c r="AL141" s="961"/>
      <c r="AM141" s="336" t="s">
        <v>1354</v>
      </c>
      <c r="AN141" s="354"/>
      <c r="AO141" s="341">
        <v>140000000</v>
      </c>
      <c r="AP141" s="356"/>
      <c r="AQ141" s="343"/>
      <c r="AR141" s="343"/>
      <c r="AS141" s="344"/>
      <c r="AT141" s="344"/>
      <c r="AU141" s="336"/>
      <c r="AV141" s="336"/>
    </row>
    <row r="142" spans="2:48" s="214" customFormat="1">
      <c r="B142" s="359" t="s">
        <v>1397</v>
      </c>
      <c r="C142" s="336" t="s">
        <v>1079</v>
      </c>
      <c r="D142" s="336"/>
      <c r="E142" s="339"/>
      <c r="F142" s="336"/>
      <c r="G142" s="336"/>
      <c r="H142" s="336"/>
      <c r="I142" s="336"/>
      <c r="J142" s="336"/>
      <c r="K142" s="336" t="s">
        <v>1118</v>
      </c>
      <c r="L142" s="336">
        <v>20</v>
      </c>
      <c r="M142" s="339"/>
      <c r="N142" s="336"/>
      <c r="O142" s="339"/>
      <c r="P142" s="339"/>
      <c r="Q142" s="353"/>
      <c r="R142" s="353"/>
      <c r="S142" s="353"/>
      <c r="T142" s="353"/>
      <c r="U142" s="953"/>
      <c r="V142" s="953"/>
      <c r="W142" s="341">
        <v>17500000</v>
      </c>
      <c r="X142" s="341">
        <f>W142*10</f>
        <v>175000000</v>
      </c>
      <c r="Y142" s="340"/>
      <c r="Z142" s="340"/>
      <c r="AA142" s="341"/>
      <c r="AB142" s="341"/>
      <c r="AC142" s="341"/>
      <c r="AD142" s="341"/>
      <c r="AE142" s="341"/>
      <c r="AF142" s="341"/>
      <c r="AG142" s="953"/>
      <c r="AH142" s="341"/>
      <c r="AI142" s="341"/>
      <c r="AJ142" s="341"/>
      <c r="AK142" s="340"/>
      <c r="AL142" s="961"/>
      <c r="AM142" s="336" t="s">
        <v>1351</v>
      </c>
      <c r="AN142" s="354"/>
      <c r="AO142" s="341">
        <v>140000000</v>
      </c>
      <c r="AP142" s="356"/>
      <c r="AQ142" s="343"/>
      <c r="AR142" s="343"/>
      <c r="AS142" s="344"/>
      <c r="AT142" s="344"/>
      <c r="AU142" s="336"/>
      <c r="AV142" s="336"/>
    </row>
    <row r="143" spans="2:48" s="214" customFormat="1">
      <c r="B143" s="337" t="s">
        <v>1398</v>
      </c>
      <c r="C143" s="336" t="s">
        <v>1079</v>
      </c>
      <c r="D143" s="336"/>
      <c r="E143" s="339"/>
      <c r="F143" s="336"/>
      <c r="G143" s="336"/>
      <c r="H143" s="336"/>
      <c r="I143" s="336"/>
      <c r="J143" s="336"/>
      <c r="K143" s="336" t="s">
        <v>1118</v>
      </c>
      <c r="L143" s="336">
        <v>20</v>
      </c>
      <c r="M143" s="339"/>
      <c r="N143" s="336"/>
      <c r="O143" s="339"/>
      <c r="P143" s="339"/>
      <c r="Q143" s="353"/>
      <c r="R143" s="353"/>
      <c r="S143" s="353"/>
      <c r="T143" s="353"/>
      <c r="U143" s="953"/>
      <c r="V143" s="953"/>
      <c r="W143" s="341">
        <v>18000000</v>
      </c>
      <c r="X143" s="341">
        <f t="shared" si="18"/>
        <v>90000000</v>
      </c>
      <c r="Y143" s="340"/>
      <c r="Z143" s="340"/>
      <c r="AA143" s="341"/>
      <c r="AB143" s="341"/>
      <c r="AC143" s="341"/>
      <c r="AD143" s="341"/>
      <c r="AE143" s="341"/>
      <c r="AF143" s="341"/>
      <c r="AG143" s="953"/>
      <c r="AH143" s="341"/>
      <c r="AI143" s="341"/>
      <c r="AJ143" s="341">
        <f t="shared" si="13"/>
        <v>0</v>
      </c>
      <c r="AK143" s="340"/>
      <c r="AL143" s="961"/>
      <c r="AM143" s="336" t="s">
        <v>1351</v>
      </c>
      <c r="AN143" s="354"/>
      <c r="AO143" s="341">
        <v>140000000</v>
      </c>
      <c r="AP143" s="356"/>
      <c r="AQ143" s="343"/>
      <c r="AR143" s="343"/>
      <c r="AS143" s="344"/>
      <c r="AT143" s="344"/>
      <c r="AU143" s="336"/>
      <c r="AV143" s="336"/>
    </row>
    <row r="144" spans="2:48" s="216" customFormat="1">
      <c r="B144" s="361" t="s">
        <v>1399</v>
      </c>
      <c r="C144" s="362" t="s">
        <v>1079</v>
      </c>
      <c r="D144" s="362"/>
      <c r="E144" s="360"/>
      <c r="F144" s="362"/>
      <c r="G144" s="362"/>
      <c r="H144" s="362"/>
      <c r="I144" s="362"/>
      <c r="J144" s="362"/>
      <c r="K144" s="362" t="s">
        <v>1118</v>
      </c>
      <c r="L144" s="362">
        <v>20</v>
      </c>
      <c r="M144" s="360"/>
      <c r="N144" s="362"/>
      <c r="O144" s="360"/>
      <c r="P144" s="360"/>
      <c r="Q144" s="363"/>
      <c r="R144" s="363"/>
      <c r="S144" s="363"/>
      <c r="T144" s="363"/>
      <c r="U144" s="953"/>
      <c r="V144" s="953"/>
      <c r="W144" s="364">
        <v>17000000</v>
      </c>
      <c r="X144" s="364">
        <f>W144*10</f>
        <v>170000000</v>
      </c>
      <c r="Y144" s="364"/>
      <c r="Z144" s="364"/>
      <c r="AA144" s="364"/>
      <c r="AB144" s="364"/>
      <c r="AC144" s="364"/>
      <c r="AD144" s="364"/>
      <c r="AE144" s="364"/>
      <c r="AF144" s="364"/>
      <c r="AG144" s="953"/>
      <c r="AH144" s="364"/>
      <c r="AI144" s="364"/>
      <c r="AJ144" s="364"/>
      <c r="AK144" s="340"/>
      <c r="AL144" s="961"/>
      <c r="AM144" s="336" t="s">
        <v>1351</v>
      </c>
      <c r="AN144" s="354"/>
      <c r="AO144" s="341">
        <v>140000000</v>
      </c>
      <c r="AP144" s="365"/>
      <c r="AQ144" s="365"/>
      <c r="AR144" s="365"/>
      <c r="AS144" s="366"/>
      <c r="AT144" s="366"/>
      <c r="AU144" s="362"/>
      <c r="AV144" s="362"/>
    </row>
    <row r="145" spans="1:48" s="214" customFormat="1">
      <c r="B145" s="337" t="s">
        <v>1400</v>
      </c>
      <c r="C145" s="336" t="s">
        <v>505</v>
      </c>
      <c r="D145" s="336"/>
      <c r="E145" s="339"/>
      <c r="F145" s="336"/>
      <c r="G145" s="336"/>
      <c r="H145" s="336"/>
      <c r="I145" s="336"/>
      <c r="J145" s="336"/>
      <c r="K145" s="336" t="s">
        <v>1118</v>
      </c>
      <c r="L145" s="336">
        <v>25</v>
      </c>
      <c r="M145" s="339"/>
      <c r="N145" s="336"/>
      <c r="O145" s="339"/>
      <c r="P145" s="339"/>
      <c r="Q145" s="353"/>
      <c r="R145" s="353"/>
      <c r="S145" s="353"/>
      <c r="T145" s="353"/>
      <c r="U145" s="953"/>
      <c r="V145" s="953"/>
      <c r="W145" s="341">
        <v>17000000</v>
      </c>
      <c r="X145" s="341">
        <f>W145*5</f>
        <v>85000000</v>
      </c>
      <c r="Y145" s="340"/>
      <c r="Z145" s="340"/>
      <c r="AA145" s="341"/>
      <c r="AB145" s="341"/>
      <c r="AC145" s="341"/>
      <c r="AD145" s="341"/>
      <c r="AE145" s="341"/>
      <c r="AF145" s="341"/>
      <c r="AG145" s="953"/>
      <c r="AH145" s="341"/>
      <c r="AI145" s="341"/>
      <c r="AJ145" s="341">
        <f t="shared" si="13"/>
        <v>0</v>
      </c>
      <c r="AK145" s="340"/>
      <c r="AL145" s="961"/>
      <c r="AM145" s="336" t="s">
        <v>1354</v>
      </c>
      <c r="AN145" s="354"/>
      <c r="AO145" s="341"/>
      <c r="AP145" s="356"/>
      <c r="AQ145" s="343"/>
      <c r="AR145" s="343"/>
      <c r="AS145" s="344"/>
      <c r="AT145" s="344"/>
      <c r="AU145" s="336"/>
      <c r="AV145" s="336"/>
    </row>
    <row r="146" spans="1:48" s="214" customFormat="1">
      <c r="B146" s="337" t="s">
        <v>1401</v>
      </c>
      <c r="C146" s="336" t="s">
        <v>1079</v>
      </c>
      <c r="D146" s="336"/>
      <c r="E146" s="339"/>
      <c r="F146" s="336"/>
      <c r="G146" s="336"/>
      <c r="H146" s="336"/>
      <c r="I146" s="336"/>
      <c r="J146" s="336"/>
      <c r="K146" s="336" t="s">
        <v>1118</v>
      </c>
      <c r="L146" s="336">
        <v>20</v>
      </c>
      <c r="M146" s="339"/>
      <c r="N146" s="336"/>
      <c r="O146" s="339"/>
      <c r="P146" s="339"/>
      <c r="Q146" s="353"/>
      <c r="R146" s="353"/>
      <c r="S146" s="353"/>
      <c r="T146" s="353"/>
      <c r="U146" s="953"/>
      <c r="V146" s="953"/>
      <c r="W146" s="341">
        <v>18000000</v>
      </c>
      <c r="X146" s="341">
        <f>W146*5</f>
        <v>90000000</v>
      </c>
      <c r="Y146" s="340"/>
      <c r="Z146" s="340"/>
      <c r="AA146" s="341"/>
      <c r="AB146" s="341"/>
      <c r="AC146" s="341"/>
      <c r="AD146" s="341"/>
      <c r="AE146" s="341"/>
      <c r="AF146" s="341" t="s">
        <v>1226</v>
      </c>
      <c r="AG146" s="953"/>
      <c r="AH146" s="341"/>
      <c r="AI146" s="341"/>
      <c r="AJ146" s="341">
        <f t="shared" si="13"/>
        <v>0</v>
      </c>
      <c r="AK146" s="340"/>
      <c r="AL146" s="961"/>
      <c r="AM146" s="336" t="s">
        <v>1351</v>
      </c>
      <c r="AN146" s="354"/>
      <c r="AO146" s="341">
        <v>140000000</v>
      </c>
      <c r="AP146" s="356"/>
      <c r="AQ146" s="343"/>
      <c r="AR146" s="343"/>
      <c r="AS146" s="344"/>
      <c r="AT146" s="344"/>
      <c r="AU146" s="336"/>
      <c r="AV146" s="336"/>
    </row>
    <row r="147" spans="1:48" s="214" customFormat="1">
      <c r="B147" s="337" t="s">
        <v>1402</v>
      </c>
      <c r="C147" s="336" t="s">
        <v>6</v>
      </c>
      <c r="D147" s="336"/>
      <c r="E147" s="339"/>
      <c r="F147" s="336"/>
      <c r="G147" s="336"/>
      <c r="H147" s="336"/>
      <c r="I147" s="336"/>
      <c r="J147" s="336"/>
      <c r="K147" s="336" t="s">
        <v>1118</v>
      </c>
      <c r="L147" s="336">
        <v>20</v>
      </c>
      <c r="M147" s="339"/>
      <c r="N147" s="336"/>
      <c r="O147" s="339"/>
      <c r="P147" s="339"/>
      <c r="Q147" s="353"/>
      <c r="R147" s="353"/>
      <c r="S147" s="353"/>
      <c r="T147" s="353"/>
      <c r="U147" s="953"/>
      <c r="V147" s="953"/>
      <c r="W147" s="341">
        <v>35280000</v>
      </c>
      <c r="X147" s="341">
        <v>215387928</v>
      </c>
      <c r="Y147" s="340"/>
      <c r="Z147" s="340"/>
      <c r="AA147" s="341"/>
      <c r="AB147" s="341"/>
      <c r="AC147" s="341"/>
      <c r="AD147" s="341"/>
      <c r="AE147" s="341"/>
      <c r="AF147" s="341"/>
      <c r="AG147" s="953"/>
      <c r="AH147" s="341"/>
      <c r="AI147" s="341"/>
      <c r="AJ147" s="341">
        <f t="shared" si="13"/>
        <v>0</v>
      </c>
      <c r="AK147" s="340"/>
      <c r="AL147" s="961"/>
      <c r="AM147" s="336" t="s">
        <v>1351</v>
      </c>
      <c r="AN147" s="354"/>
      <c r="AO147" s="341">
        <v>140000000</v>
      </c>
      <c r="AP147" s="356"/>
      <c r="AQ147" s="343"/>
      <c r="AR147" s="343"/>
      <c r="AS147" s="344"/>
      <c r="AT147" s="344"/>
      <c r="AU147" s="336"/>
      <c r="AV147" s="336"/>
    </row>
    <row r="148" spans="1:48" s="214" customFormat="1">
      <c r="B148" s="337" t="s">
        <v>1403</v>
      </c>
      <c r="C148" s="336" t="s">
        <v>6</v>
      </c>
      <c r="D148" s="336"/>
      <c r="E148" s="339"/>
      <c r="F148" s="336"/>
      <c r="G148" s="336"/>
      <c r="H148" s="336"/>
      <c r="I148" s="336"/>
      <c r="J148" s="336"/>
      <c r="K148" s="336" t="s">
        <v>1118</v>
      </c>
      <c r="L148" s="336">
        <v>20</v>
      </c>
      <c r="M148" s="339"/>
      <c r="N148" s="336"/>
      <c r="O148" s="339"/>
      <c r="P148" s="339"/>
      <c r="Q148" s="353"/>
      <c r="R148" s="353"/>
      <c r="S148" s="353"/>
      <c r="T148" s="353"/>
      <c r="U148" s="953"/>
      <c r="V148" s="953"/>
      <c r="W148" s="341">
        <v>35280000</v>
      </c>
      <c r="X148" s="341">
        <v>215387928</v>
      </c>
      <c r="Y148" s="340"/>
      <c r="Z148" s="340"/>
      <c r="AA148" s="341"/>
      <c r="AB148" s="341"/>
      <c r="AC148" s="341"/>
      <c r="AD148" s="341"/>
      <c r="AE148" s="341"/>
      <c r="AF148" s="341"/>
      <c r="AG148" s="953"/>
      <c r="AH148" s="341"/>
      <c r="AI148" s="341"/>
      <c r="AJ148" s="341">
        <f t="shared" si="13"/>
        <v>0</v>
      </c>
      <c r="AK148" s="340"/>
      <c r="AL148" s="961"/>
      <c r="AM148" s="336" t="s">
        <v>1351</v>
      </c>
      <c r="AN148" s="354"/>
      <c r="AO148" s="341">
        <v>140000000</v>
      </c>
      <c r="AP148" s="356"/>
      <c r="AQ148" s="343"/>
      <c r="AR148" s="343"/>
      <c r="AS148" s="344"/>
      <c r="AT148" s="344"/>
      <c r="AU148" s="336"/>
      <c r="AV148" s="336"/>
    </row>
    <row r="149" spans="1:48" s="214" customFormat="1">
      <c r="B149" s="337" t="s">
        <v>1404</v>
      </c>
      <c r="C149" s="336" t="s">
        <v>6</v>
      </c>
      <c r="D149" s="336"/>
      <c r="E149" s="339"/>
      <c r="F149" s="336"/>
      <c r="G149" s="336"/>
      <c r="H149" s="336"/>
      <c r="I149" s="336"/>
      <c r="J149" s="336"/>
      <c r="K149" s="336" t="s">
        <v>1118</v>
      </c>
      <c r="L149" s="336">
        <v>20</v>
      </c>
      <c r="M149" s="339"/>
      <c r="N149" s="336"/>
      <c r="O149" s="339"/>
      <c r="P149" s="339"/>
      <c r="Q149" s="353"/>
      <c r="R149" s="353"/>
      <c r="S149" s="353"/>
      <c r="T149" s="353"/>
      <c r="U149" s="953"/>
      <c r="V149" s="953"/>
      <c r="W149" s="341">
        <v>18500000</v>
      </c>
      <c r="X149" s="341">
        <f>W149*10</f>
        <v>185000000</v>
      </c>
      <c r="Y149" s="340"/>
      <c r="Z149" s="340"/>
      <c r="AA149" s="341"/>
      <c r="AB149" s="341"/>
      <c r="AC149" s="341"/>
      <c r="AD149" s="341"/>
      <c r="AE149" s="341"/>
      <c r="AF149" s="341"/>
      <c r="AG149" s="953"/>
      <c r="AH149" s="341"/>
      <c r="AI149" s="341"/>
      <c r="AJ149" s="341"/>
      <c r="AK149" s="340"/>
      <c r="AL149" s="961"/>
      <c r="AM149" s="336" t="s">
        <v>1351</v>
      </c>
      <c r="AN149" s="354"/>
      <c r="AO149" s="341">
        <v>140000000</v>
      </c>
      <c r="AP149" s="356"/>
      <c r="AQ149" s="343"/>
      <c r="AR149" s="343"/>
      <c r="AS149" s="344"/>
      <c r="AT149" s="344"/>
      <c r="AU149" s="336"/>
      <c r="AV149" s="336"/>
    </row>
    <row r="150" spans="1:48" s="214" customFormat="1">
      <c r="B150" s="337" t="s">
        <v>31</v>
      </c>
      <c r="C150" s="336" t="s">
        <v>6</v>
      </c>
      <c r="D150" s="336"/>
      <c r="E150" s="339"/>
      <c r="F150" s="336"/>
      <c r="G150" s="336"/>
      <c r="H150" s="336"/>
      <c r="I150" s="336"/>
      <c r="J150" s="336"/>
      <c r="K150" s="336" t="s">
        <v>1405</v>
      </c>
      <c r="L150" s="336" t="s">
        <v>1406</v>
      </c>
      <c r="M150" s="339"/>
      <c r="N150" s="336"/>
      <c r="O150" s="339"/>
      <c r="P150" s="339"/>
      <c r="Q150" s="353"/>
      <c r="R150" s="353"/>
      <c r="S150" s="353"/>
      <c r="T150" s="353"/>
      <c r="U150" s="953"/>
      <c r="V150" s="953"/>
      <c r="W150" s="358">
        <f>X150/11</f>
        <v>45454545.454545453</v>
      </c>
      <c r="X150" s="341">
        <v>500000000</v>
      </c>
      <c r="Y150" s="340"/>
      <c r="Z150" s="340"/>
      <c r="AA150" s="341"/>
      <c r="AB150" s="341"/>
      <c r="AC150" s="341"/>
      <c r="AD150" s="341"/>
      <c r="AE150" s="341"/>
      <c r="AF150" s="341"/>
      <c r="AG150" s="953"/>
      <c r="AH150" s="341"/>
      <c r="AI150" s="341"/>
      <c r="AJ150" s="341"/>
      <c r="AK150" s="340"/>
      <c r="AL150" s="961"/>
      <c r="AM150" s="336" t="s">
        <v>1407</v>
      </c>
      <c r="AN150" s="354"/>
      <c r="AO150" s="341">
        <f>86377623*3</f>
        <v>259132869</v>
      </c>
      <c r="AP150" s="356"/>
      <c r="AQ150" s="343"/>
      <c r="AR150" s="343"/>
      <c r="AS150" s="344"/>
      <c r="AT150" s="344"/>
      <c r="AU150" s="336"/>
      <c r="AV150" s="336"/>
    </row>
    <row r="151" spans="1:48" s="214" customFormat="1">
      <c r="B151" s="337" t="s">
        <v>49</v>
      </c>
      <c r="C151" s="336" t="s">
        <v>6</v>
      </c>
      <c r="D151" s="336"/>
      <c r="E151" s="339"/>
      <c r="F151" s="336"/>
      <c r="G151" s="336"/>
      <c r="H151" s="336"/>
      <c r="I151" s="336"/>
      <c r="J151" s="336"/>
      <c r="K151" s="336" t="s">
        <v>1118</v>
      </c>
      <c r="L151" s="336">
        <v>20</v>
      </c>
      <c r="M151" s="339"/>
      <c r="N151" s="336"/>
      <c r="O151" s="339"/>
      <c r="P151" s="339"/>
      <c r="Q151" s="353"/>
      <c r="R151" s="353"/>
      <c r="S151" s="353"/>
      <c r="T151" s="353"/>
      <c r="U151" s="953"/>
      <c r="V151" s="953"/>
      <c r="W151" s="341">
        <v>19000000</v>
      </c>
      <c r="X151" s="341">
        <f>W151*10</f>
        <v>190000000</v>
      </c>
      <c r="Y151" s="340"/>
      <c r="Z151" s="340"/>
      <c r="AA151" s="341"/>
      <c r="AB151" s="341"/>
      <c r="AC151" s="341"/>
      <c r="AD151" s="341"/>
      <c r="AE151" s="341"/>
      <c r="AF151" s="341"/>
      <c r="AG151" s="953"/>
      <c r="AH151" s="341"/>
      <c r="AI151" s="341"/>
      <c r="AJ151" s="341"/>
      <c r="AK151" s="340"/>
      <c r="AL151" s="961"/>
      <c r="AM151" s="336" t="s">
        <v>1351</v>
      </c>
      <c r="AN151" s="354"/>
      <c r="AO151" s="341">
        <v>140000000</v>
      </c>
      <c r="AP151" s="356"/>
      <c r="AQ151" s="343"/>
      <c r="AR151" s="343"/>
      <c r="AS151" s="344"/>
      <c r="AT151" s="344"/>
      <c r="AU151" s="336"/>
      <c r="AV151" s="336"/>
    </row>
    <row r="152" spans="1:48" s="214" customFormat="1">
      <c r="B152" s="347" t="s">
        <v>1408</v>
      </c>
      <c r="C152" s="336" t="s">
        <v>1257</v>
      </c>
      <c r="D152" s="336"/>
      <c r="E152" s="336"/>
      <c r="F152" s="336"/>
      <c r="G152" s="336"/>
      <c r="H152" s="336"/>
      <c r="I152" s="336"/>
      <c r="J152" s="336"/>
      <c r="K152" s="336" t="s">
        <v>1196</v>
      </c>
      <c r="L152" s="336">
        <v>42</v>
      </c>
      <c r="M152" s="339"/>
      <c r="N152" s="336"/>
      <c r="O152" s="339"/>
      <c r="P152" s="339"/>
      <c r="Q152" s="353"/>
      <c r="R152" s="353"/>
      <c r="S152" s="353"/>
      <c r="T152" s="353"/>
      <c r="U152" s="953">
        <v>18750000</v>
      </c>
      <c r="V152" s="953">
        <f t="shared" ref="V152:V159" si="19">U152*11</f>
        <v>206250000</v>
      </c>
      <c r="W152" s="341">
        <v>20000000</v>
      </c>
      <c r="X152" s="341">
        <f>W152*20</f>
        <v>400000000</v>
      </c>
      <c r="Y152" s="340">
        <v>3000000</v>
      </c>
      <c r="Z152" s="340">
        <v>25000000</v>
      </c>
      <c r="AA152" s="341"/>
      <c r="AB152" s="341"/>
      <c r="AC152" s="341"/>
      <c r="AD152" s="341"/>
      <c r="AE152" s="341"/>
      <c r="AF152" s="341" t="s">
        <v>1286</v>
      </c>
      <c r="AG152" s="954" t="s">
        <v>1218</v>
      </c>
      <c r="AH152" s="341">
        <v>21500000</v>
      </c>
      <c r="AI152" s="341">
        <v>50000000</v>
      </c>
      <c r="AJ152" s="341">
        <f t="shared" si="13"/>
        <v>75000000</v>
      </c>
      <c r="AK152" s="340">
        <v>15000000</v>
      </c>
      <c r="AL152" s="961"/>
      <c r="AM152" s="341" t="s">
        <v>1024</v>
      </c>
      <c r="AN152" s="354"/>
      <c r="AO152" s="341">
        <v>353505181</v>
      </c>
      <c r="AP152" s="356"/>
      <c r="AQ152" s="343"/>
      <c r="AR152" s="343"/>
      <c r="AS152" s="344"/>
      <c r="AT152" s="344"/>
      <c r="AU152" s="336"/>
      <c r="AV152" s="336"/>
    </row>
    <row r="153" spans="1:48" s="214" customFormat="1">
      <c r="A153" s="217"/>
      <c r="B153" s="337" t="s">
        <v>28</v>
      </c>
      <c r="C153" s="336" t="s">
        <v>29</v>
      </c>
      <c r="D153" s="336"/>
      <c r="E153" s="339"/>
      <c r="F153" s="336"/>
      <c r="G153" s="336"/>
      <c r="H153" s="336"/>
      <c r="I153" s="336"/>
      <c r="J153" s="336"/>
      <c r="K153" s="336" t="s">
        <v>1118</v>
      </c>
      <c r="L153" s="336">
        <v>20</v>
      </c>
      <c r="M153" s="367"/>
      <c r="N153" s="368"/>
      <c r="O153" s="369"/>
      <c r="P153" s="369"/>
      <c r="Q153" s="370"/>
      <c r="R153" s="370"/>
      <c r="S153" s="370"/>
      <c r="T153" s="370"/>
      <c r="U153" s="953">
        <v>18750000</v>
      </c>
      <c r="V153" s="953">
        <f t="shared" si="19"/>
        <v>206250000</v>
      </c>
      <c r="W153" s="341">
        <v>18000000</v>
      </c>
      <c r="X153" s="341">
        <f>W153*10</f>
        <v>180000000</v>
      </c>
      <c r="Y153" s="340">
        <v>3000000</v>
      </c>
      <c r="Z153" s="340">
        <v>25000000</v>
      </c>
      <c r="AA153" s="341"/>
      <c r="AB153" s="341"/>
      <c r="AC153" s="341"/>
      <c r="AD153" s="341"/>
      <c r="AE153" s="341"/>
      <c r="AF153" s="341" t="s">
        <v>1217</v>
      </c>
      <c r="AG153" s="953">
        <v>500000</v>
      </c>
      <c r="AH153" s="341">
        <f>AG153*22</f>
        <v>11000000</v>
      </c>
      <c r="AI153" s="341">
        <v>55000000</v>
      </c>
      <c r="AJ153" s="341">
        <v>80000000</v>
      </c>
      <c r="AK153" s="340">
        <v>15000000</v>
      </c>
      <c r="AL153" s="961"/>
      <c r="AM153" s="368" t="s">
        <v>1297</v>
      </c>
      <c r="AN153" s="371"/>
      <c r="AO153" s="341">
        <v>140000000</v>
      </c>
      <c r="AP153" s="342">
        <v>90466667</v>
      </c>
      <c r="AQ153" s="343">
        <f>AN153+AK153+AJ153+AH153+AA153+Z153+Y153+X153</f>
        <v>314000000</v>
      </c>
      <c r="AR153" s="343">
        <f>AQ153+AO153</f>
        <v>454000000</v>
      </c>
      <c r="AS153" s="344"/>
      <c r="AT153" s="344"/>
      <c r="AU153" s="336" t="s">
        <v>1199</v>
      </c>
      <c r="AV153" s="336"/>
    </row>
    <row r="154" spans="1:48" s="214" customFormat="1">
      <c r="A154" s="217">
        <v>2021</v>
      </c>
      <c r="B154" s="337" t="s">
        <v>23</v>
      </c>
      <c r="C154" s="336" t="s">
        <v>21</v>
      </c>
      <c r="D154" s="336"/>
      <c r="E154" s="339"/>
      <c r="F154" s="336"/>
      <c r="G154" s="336"/>
      <c r="H154" s="336"/>
      <c r="I154" s="336"/>
      <c r="J154" s="336"/>
      <c r="K154" s="336" t="s">
        <v>1118</v>
      </c>
      <c r="L154" s="336">
        <v>20</v>
      </c>
      <c r="M154" s="367"/>
      <c r="N154" s="368"/>
      <c r="O154" s="369"/>
      <c r="P154" s="369"/>
      <c r="Q154" s="370"/>
      <c r="R154" s="370"/>
      <c r="S154" s="370"/>
      <c r="T154" s="370"/>
      <c r="U154" s="953">
        <v>18750000</v>
      </c>
      <c r="V154" s="953">
        <f t="shared" si="19"/>
        <v>206250000</v>
      </c>
      <c r="W154" s="372"/>
      <c r="X154" s="372"/>
      <c r="Y154" s="373">
        <v>3000000</v>
      </c>
      <c r="Z154" s="373">
        <v>15000000</v>
      </c>
      <c r="AA154" s="372"/>
      <c r="AB154" s="374"/>
      <c r="AC154" s="374"/>
      <c r="AD154" s="372"/>
      <c r="AE154" s="372"/>
      <c r="AF154" s="368" t="s">
        <v>1409</v>
      </c>
      <c r="AG154" s="955">
        <v>1000000</v>
      </c>
      <c r="AH154" s="372">
        <f>AG154*6</f>
        <v>6000000</v>
      </c>
      <c r="AI154" s="372">
        <f>56000000+16000000</f>
        <v>72000000</v>
      </c>
      <c r="AJ154" s="372">
        <v>71000000</v>
      </c>
      <c r="AK154" s="373">
        <v>15000000</v>
      </c>
      <c r="AL154" s="961">
        <f>AJ154+AH154</f>
        <v>77000000</v>
      </c>
      <c r="AM154" s="368" t="s">
        <v>1297</v>
      </c>
      <c r="AN154" s="371"/>
      <c r="AO154" s="375">
        <v>140000000</v>
      </c>
      <c r="AP154" s="356"/>
      <c r="AQ154" s="356"/>
      <c r="AR154" s="356"/>
      <c r="AS154" s="344"/>
      <c r="AT154" s="344"/>
      <c r="AU154" s="336"/>
      <c r="AV154" s="336"/>
    </row>
    <row r="155" spans="1:48" s="214" customFormat="1">
      <c r="A155" s="217">
        <v>2021</v>
      </c>
      <c r="B155" s="337" t="s">
        <v>1</v>
      </c>
      <c r="C155" s="336" t="s">
        <v>1410</v>
      </c>
      <c r="D155" s="336"/>
      <c r="E155" s="339"/>
      <c r="F155" s="336"/>
      <c r="G155" s="336"/>
      <c r="H155" s="336"/>
      <c r="I155" s="336"/>
      <c r="J155" s="336"/>
      <c r="K155" s="336" t="s">
        <v>1118</v>
      </c>
      <c r="L155" s="336">
        <v>20</v>
      </c>
      <c r="M155" s="367"/>
      <c r="N155" s="368"/>
      <c r="O155" s="369"/>
      <c r="P155" s="369"/>
      <c r="Q155" s="370"/>
      <c r="R155" s="370"/>
      <c r="S155" s="370"/>
      <c r="T155" s="370"/>
      <c r="U155" s="953">
        <v>18750000</v>
      </c>
      <c r="V155" s="953">
        <f t="shared" si="19"/>
        <v>206250000</v>
      </c>
      <c r="W155" s="372">
        <v>20000000</v>
      </c>
      <c r="X155" s="372">
        <v>220000000</v>
      </c>
      <c r="Y155" s="373" t="s">
        <v>1761</v>
      </c>
      <c r="Z155" s="373" t="s">
        <v>1761</v>
      </c>
      <c r="AA155" s="372"/>
      <c r="AB155" s="374"/>
      <c r="AC155" s="374"/>
      <c r="AD155" s="372"/>
      <c r="AE155" s="372"/>
      <c r="AF155" s="341" t="s">
        <v>1761</v>
      </c>
      <c r="AG155" s="953" t="s">
        <v>1761</v>
      </c>
      <c r="AH155" s="341" t="s">
        <v>1761</v>
      </c>
      <c r="AI155" s="341" t="s">
        <v>1761</v>
      </c>
      <c r="AJ155" s="341" t="s">
        <v>1761</v>
      </c>
      <c r="AK155" s="373"/>
      <c r="AL155" s="963"/>
      <c r="AM155" s="368" t="s">
        <v>1411</v>
      </c>
      <c r="AN155" s="371"/>
      <c r="AO155" s="341" t="s">
        <v>1761</v>
      </c>
      <c r="AP155" s="356"/>
      <c r="AQ155" s="356"/>
      <c r="AR155" s="356"/>
      <c r="AS155" s="344"/>
      <c r="AT155" s="344"/>
      <c r="AU155" s="336"/>
      <c r="AV155" s="336"/>
    </row>
    <row r="156" spans="1:48" s="214" customFormat="1">
      <c r="A156" s="217">
        <v>2021</v>
      </c>
      <c r="B156" s="337" t="s">
        <v>48</v>
      </c>
      <c r="C156" s="336" t="s">
        <v>1410</v>
      </c>
      <c r="D156" s="336"/>
      <c r="E156" s="339"/>
      <c r="F156" s="336"/>
      <c r="G156" s="336"/>
      <c r="H156" s="336"/>
      <c r="I156" s="336"/>
      <c r="J156" s="336"/>
      <c r="K156" s="336" t="s">
        <v>1118</v>
      </c>
      <c r="L156" s="336">
        <v>20</v>
      </c>
      <c r="M156" s="367"/>
      <c r="N156" s="368"/>
      <c r="O156" s="369"/>
      <c r="P156" s="369"/>
      <c r="Q156" s="370"/>
      <c r="R156" s="370"/>
      <c r="S156" s="370"/>
      <c r="T156" s="370"/>
      <c r="U156" s="953">
        <v>18750000</v>
      </c>
      <c r="V156" s="953">
        <f t="shared" si="19"/>
        <v>206250000</v>
      </c>
      <c r="W156" s="372">
        <v>18000000</v>
      </c>
      <c r="X156" s="372">
        <v>180000000</v>
      </c>
      <c r="Y156" s="373" t="s">
        <v>1761</v>
      </c>
      <c r="Z156" s="373" t="s">
        <v>1761</v>
      </c>
      <c r="AA156" s="372"/>
      <c r="AB156" s="374"/>
      <c r="AC156" s="374"/>
      <c r="AD156" s="372"/>
      <c r="AE156" s="372"/>
      <c r="AF156" s="341" t="s">
        <v>1761</v>
      </c>
      <c r="AG156" s="953" t="s">
        <v>1761</v>
      </c>
      <c r="AH156" s="341" t="s">
        <v>1761</v>
      </c>
      <c r="AI156" s="341" t="s">
        <v>1761</v>
      </c>
      <c r="AJ156" s="341" t="s">
        <v>1761</v>
      </c>
      <c r="AK156" s="373"/>
      <c r="AL156" s="963"/>
      <c r="AM156" s="368" t="s">
        <v>1411</v>
      </c>
      <c r="AN156" s="371"/>
      <c r="AO156" s="375">
        <v>140000000</v>
      </c>
      <c r="AP156" s="356"/>
      <c r="AQ156" s="356"/>
      <c r="AR156" s="356"/>
      <c r="AS156" s="344"/>
      <c r="AT156" s="344"/>
      <c r="AU156" s="336"/>
      <c r="AV156" s="336"/>
    </row>
    <row r="157" spans="1:48" s="214" customFormat="1">
      <c r="A157" s="213"/>
      <c r="B157" s="339" t="s">
        <v>215</v>
      </c>
      <c r="C157" s="336" t="s">
        <v>1410</v>
      </c>
      <c r="D157" s="336"/>
      <c r="E157" s="336"/>
      <c r="F157" s="336"/>
      <c r="G157" s="336"/>
      <c r="H157" s="337"/>
      <c r="I157" s="336"/>
      <c r="J157" s="336"/>
      <c r="K157" s="336" t="s">
        <v>1118</v>
      </c>
      <c r="L157" s="336">
        <v>20</v>
      </c>
      <c r="M157" s="336"/>
      <c r="N157" s="338"/>
      <c r="O157" s="338"/>
      <c r="P157" s="336"/>
      <c r="Q157" s="336"/>
      <c r="R157" s="339"/>
      <c r="S157" s="339"/>
      <c r="T157" s="339"/>
      <c r="U157" s="953">
        <v>18750000</v>
      </c>
      <c r="V157" s="953">
        <f t="shared" si="19"/>
        <v>206250000</v>
      </c>
      <c r="W157" s="341">
        <v>15000000</v>
      </c>
      <c r="X157" s="341">
        <v>150000000</v>
      </c>
      <c r="Y157" s="340"/>
      <c r="Z157" s="340">
        <v>15000000</v>
      </c>
      <c r="AA157" s="341"/>
      <c r="AB157" s="341"/>
      <c r="AC157" s="341"/>
      <c r="AD157" s="341"/>
      <c r="AE157" s="341"/>
      <c r="AF157" s="341" t="s">
        <v>1363</v>
      </c>
      <c r="AG157" s="953">
        <v>500000</v>
      </c>
      <c r="AH157" s="341">
        <f>AG157*7</f>
        <v>3500000</v>
      </c>
      <c r="AI157" s="341">
        <v>54500000</v>
      </c>
      <c r="AJ157" s="341">
        <v>69500000</v>
      </c>
      <c r="AK157" s="340"/>
      <c r="AL157" s="961"/>
      <c r="AM157" s="341" t="s">
        <v>1297</v>
      </c>
      <c r="AN157" s="341"/>
      <c r="AO157" s="341">
        <v>140000000</v>
      </c>
      <c r="AP157" s="342"/>
      <c r="AQ157" s="342"/>
      <c r="AR157" s="342"/>
      <c r="AS157" s="344"/>
      <c r="AT157" s="336"/>
      <c r="AU157" s="336"/>
      <c r="AV157" s="336"/>
    </row>
    <row r="158" spans="1:48" s="214" customFormat="1">
      <c r="A158" s="217">
        <v>2021</v>
      </c>
      <c r="B158" s="339" t="s">
        <v>883</v>
      </c>
      <c r="C158" s="336" t="s">
        <v>26</v>
      </c>
      <c r="D158" s="336"/>
      <c r="E158" s="336"/>
      <c r="F158" s="336"/>
      <c r="G158" s="336"/>
      <c r="H158" s="336"/>
      <c r="I158" s="336"/>
      <c r="J158" s="336"/>
      <c r="K158" s="336" t="s">
        <v>319</v>
      </c>
      <c r="L158" s="336">
        <v>52</v>
      </c>
      <c r="M158" s="336"/>
      <c r="N158" s="338"/>
      <c r="O158" s="338"/>
      <c r="P158" s="336"/>
      <c r="Q158" s="336"/>
      <c r="R158" s="339"/>
      <c r="S158" s="339"/>
      <c r="T158" s="339"/>
      <c r="U158" s="953">
        <v>18750000</v>
      </c>
      <c r="V158" s="953">
        <f t="shared" si="19"/>
        <v>206250000</v>
      </c>
      <c r="W158" s="341">
        <v>19000000</v>
      </c>
      <c r="X158" s="341">
        <f>W158*20</f>
        <v>380000000</v>
      </c>
      <c r="Y158" s="340">
        <v>3000000</v>
      </c>
      <c r="Z158" s="340">
        <v>25000000</v>
      </c>
      <c r="AA158" s="341"/>
      <c r="AB158" s="341"/>
      <c r="AC158" s="341"/>
      <c r="AD158" s="341"/>
      <c r="AE158" s="341"/>
      <c r="AF158" s="341" t="s">
        <v>1222</v>
      </c>
      <c r="AG158" s="953">
        <v>500000</v>
      </c>
      <c r="AH158" s="341">
        <v>16000000</v>
      </c>
      <c r="AI158" s="341">
        <v>52000000</v>
      </c>
      <c r="AJ158" s="341">
        <v>77000000</v>
      </c>
      <c r="AK158" s="373">
        <v>15000000</v>
      </c>
      <c r="AL158" s="961">
        <f>AJ158+AH158</f>
        <v>93000000</v>
      </c>
      <c r="AM158" s="341" t="s">
        <v>1936</v>
      </c>
      <c r="AN158" s="341"/>
      <c r="AO158" s="341">
        <v>423293218</v>
      </c>
      <c r="AP158" s="342"/>
      <c r="AQ158" s="342"/>
      <c r="AR158" s="342"/>
      <c r="AS158" s="344"/>
      <c r="AT158" s="336"/>
      <c r="AU158" s="336"/>
      <c r="AV158" s="336"/>
    </row>
    <row r="159" spans="1:48" s="214" customFormat="1">
      <c r="A159" s="217">
        <v>2021</v>
      </c>
      <c r="B159" s="339" t="s">
        <v>874</v>
      </c>
      <c r="C159" s="336" t="s">
        <v>772</v>
      </c>
      <c r="D159" s="336"/>
      <c r="E159" s="336"/>
      <c r="F159" s="336"/>
      <c r="G159" s="336"/>
      <c r="H159" s="336"/>
      <c r="I159" s="336"/>
      <c r="J159" s="336"/>
      <c r="K159" s="336" t="s">
        <v>319</v>
      </c>
      <c r="L159" s="336">
        <v>52</v>
      </c>
      <c r="M159" s="336"/>
      <c r="N159" s="338"/>
      <c r="O159" s="338"/>
      <c r="P159" s="336"/>
      <c r="Q159" s="336"/>
      <c r="R159" s="339"/>
      <c r="S159" s="339"/>
      <c r="T159" s="339"/>
      <c r="U159" s="953">
        <v>18750000</v>
      </c>
      <c r="V159" s="953">
        <f t="shared" si="19"/>
        <v>206250000</v>
      </c>
      <c r="W159" s="341">
        <v>18000000</v>
      </c>
      <c r="X159" s="341">
        <v>360000000</v>
      </c>
      <c r="Y159" s="340">
        <v>3000000</v>
      </c>
      <c r="Z159" s="340">
        <v>25000000</v>
      </c>
      <c r="AA159" s="341"/>
      <c r="AB159" s="341"/>
      <c r="AC159" s="341"/>
      <c r="AD159" s="341"/>
      <c r="AE159" s="341"/>
      <c r="AF159" s="376" t="s">
        <v>1302</v>
      </c>
      <c r="AG159" s="953">
        <v>300000</v>
      </c>
      <c r="AH159" s="341">
        <v>21500000</v>
      </c>
      <c r="AI159" s="341">
        <v>45500000</v>
      </c>
      <c r="AJ159" s="341">
        <v>70500000</v>
      </c>
      <c r="AK159" s="373">
        <v>15000000</v>
      </c>
      <c r="AL159" s="961">
        <f>AJ159+AH159</f>
        <v>92000000</v>
      </c>
      <c r="AM159" s="341" t="s">
        <v>1205</v>
      </c>
      <c r="AN159" s="341"/>
      <c r="AO159" s="341">
        <v>423293218</v>
      </c>
      <c r="AP159" s="342"/>
      <c r="AQ159" s="342"/>
      <c r="AR159" s="342"/>
      <c r="AS159" s="344"/>
      <c r="AT159" s="344"/>
      <c r="AU159" s="336"/>
      <c r="AV159" s="336"/>
    </row>
    <row r="160" spans="1:48" s="214" customFormat="1">
      <c r="A160" s="213"/>
      <c r="B160" s="339" t="s">
        <v>1074</v>
      </c>
      <c r="C160" s="336" t="s">
        <v>1079</v>
      </c>
      <c r="D160" s="336"/>
      <c r="E160" s="336"/>
      <c r="F160" s="377"/>
      <c r="G160" s="377"/>
      <c r="H160" s="337"/>
      <c r="I160" s="336"/>
      <c r="J160" s="336"/>
      <c r="K160" s="336" t="s">
        <v>1118</v>
      </c>
      <c r="L160" s="336">
        <v>20</v>
      </c>
      <c r="M160" s="336"/>
      <c r="N160" s="338"/>
      <c r="O160" s="338"/>
      <c r="P160" s="336"/>
      <c r="Q160" s="336"/>
      <c r="R160" s="339"/>
      <c r="S160" s="339"/>
      <c r="T160" s="339"/>
      <c r="U160" s="953">
        <v>18750000</v>
      </c>
      <c r="V160" s="953">
        <f>U160*11</f>
        <v>206250000</v>
      </c>
      <c r="W160" s="341">
        <v>20000000</v>
      </c>
      <c r="X160" s="341">
        <v>200000000</v>
      </c>
      <c r="Y160" s="340">
        <v>3000000</v>
      </c>
      <c r="Z160" s="340">
        <v>15000000</v>
      </c>
      <c r="AA160" s="341"/>
      <c r="AB160" s="341"/>
      <c r="AC160" s="341"/>
      <c r="AD160" s="341"/>
      <c r="AE160" s="341"/>
      <c r="AF160" s="341" t="s">
        <v>1761</v>
      </c>
      <c r="AG160" s="953" t="s">
        <v>1761</v>
      </c>
      <c r="AH160" s="341" t="s">
        <v>1761</v>
      </c>
      <c r="AI160" s="341" t="s">
        <v>1761</v>
      </c>
      <c r="AJ160" s="341" t="s">
        <v>1761</v>
      </c>
      <c r="AK160" s="340" t="s">
        <v>1761</v>
      </c>
      <c r="AL160" s="961"/>
      <c r="AM160" s="341" t="s">
        <v>1297</v>
      </c>
      <c r="AN160" s="341"/>
      <c r="AO160" s="341">
        <v>140000000</v>
      </c>
      <c r="AP160" s="342"/>
      <c r="AQ160" s="342"/>
      <c r="AR160" s="342"/>
      <c r="AS160" s="344"/>
      <c r="AT160" s="336"/>
      <c r="AU160" s="336"/>
      <c r="AV160" s="336"/>
    </row>
    <row r="161" spans="1:48" s="214" customFormat="1">
      <c r="A161" s="213"/>
      <c r="B161" s="339" t="s">
        <v>2108</v>
      </c>
      <c r="C161" s="336" t="s">
        <v>772</v>
      </c>
      <c r="D161" s="336"/>
      <c r="E161" s="336"/>
      <c r="F161" s="336"/>
      <c r="G161" s="336"/>
      <c r="H161" s="337"/>
      <c r="I161" s="336"/>
      <c r="J161" s="336"/>
      <c r="K161" s="336" t="s">
        <v>319</v>
      </c>
      <c r="L161" s="336">
        <v>42</v>
      </c>
      <c r="M161" s="336"/>
      <c r="N161" s="336"/>
      <c r="O161" s="336"/>
      <c r="P161" s="336"/>
      <c r="Q161" s="336"/>
      <c r="R161" s="339"/>
      <c r="S161" s="339"/>
      <c r="T161" s="339"/>
      <c r="U161" s="953">
        <v>18750000</v>
      </c>
      <c r="V161" s="953">
        <f>U161*11</f>
        <v>206250000</v>
      </c>
      <c r="W161" s="341">
        <v>18000000</v>
      </c>
      <c r="X161" s="341">
        <f>W161*20</f>
        <v>360000000</v>
      </c>
      <c r="Y161" s="340">
        <v>3000000</v>
      </c>
      <c r="Z161" s="340">
        <v>25000000</v>
      </c>
      <c r="AA161" s="341"/>
      <c r="AB161" s="341"/>
      <c r="AC161" s="341"/>
      <c r="AD161" s="341"/>
      <c r="AE161" s="341"/>
      <c r="AF161" s="341" t="s">
        <v>2109</v>
      </c>
      <c r="AG161" s="953" t="s">
        <v>2110</v>
      </c>
      <c r="AH161" s="341">
        <v>13900000</v>
      </c>
      <c r="AI161" s="341">
        <v>45000000</v>
      </c>
      <c r="AJ161" s="341">
        <v>70000000</v>
      </c>
      <c r="AK161" s="340">
        <v>15000000</v>
      </c>
      <c r="AL161" s="961"/>
      <c r="AM161" s="341" t="s">
        <v>1208</v>
      </c>
      <c r="AN161" s="341"/>
      <c r="AO161" s="341">
        <v>353505181</v>
      </c>
      <c r="AP161" s="342"/>
      <c r="AQ161" s="342"/>
      <c r="AR161" s="342"/>
      <c r="AS161" s="344"/>
      <c r="AT161" s="336"/>
      <c r="AU161" s="336"/>
      <c r="AV161" s="336"/>
    </row>
    <row r="162" spans="1:48" s="214" customFormat="1">
      <c r="A162" s="213">
        <v>2021</v>
      </c>
      <c r="B162" s="339" t="s">
        <v>33</v>
      </c>
      <c r="C162" s="336" t="s">
        <v>35</v>
      </c>
      <c r="D162" s="336"/>
      <c r="E162" s="336"/>
      <c r="F162" s="336"/>
      <c r="G162" s="336"/>
      <c r="H162" s="337"/>
      <c r="I162" s="336"/>
      <c r="J162" s="336"/>
      <c r="K162" s="336" t="s">
        <v>1118</v>
      </c>
      <c r="L162" s="336">
        <v>20</v>
      </c>
      <c r="M162" s="336"/>
      <c r="N162" s="338"/>
      <c r="O162" s="338"/>
      <c r="P162" s="336"/>
      <c r="Q162" s="336"/>
      <c r="R162" s="339"/>
      <c r="S162" s="339"/>
      <c r="T162" s="339"/>
      <c r="U162" s="953">
        <v>18750000</v>
      </c>
      <c r="V162" s="953">
        <f>U162*11</f>
        <v>206250000</v>
      </c>
      <c r="W162" s="341">
        <v>20000000</v>
      </c>
      <c r="X162" s="341">
        <v>100000000</v>
      </c>
      <c r="Y162" s="341" t="s">
        <v>1761</v>
      </c>
      <c r="Z162" s="341" t="s">
        <v>1761</v>
      </c>
      <c r="AA162" s="341" t="s">
        <v>1761</v>
      </c>
      <c r="AB162" s="341" t="s">
        <v>1761</v>
      </c>
      <c r="AC162" s="341" t="s">
        <v>1761</v>
      </c>
      <c r="AD162" s="341" t="s">
        <v>1761</v>
      </c>
      <c r="AE162" s="341" t="s">
        <v>1761</v>
      </c>
      <c r="AF162" s="341" t="s">
        <v>1761</v>
      </c>
      <c r="AG162" s="953" t="s">
        <v>1761</v>
      </c>
      <c r="AH162" s="341" t="s">
        <v>1761</v>
      </c>
      <c r="AI162" s="341" t="s">
        <v>1761</v>
      </c>
      <c r="AJ162" s="341" t="s">
        <v>1761</v>
      </c>
      <c r="AK162" s="340" t="s">
        <v>1761</v>
      </c>
      <c r="AL162" s="961"/>
      <c r="AM162" s="341" t="s">
        <v>1297</v>
      </c>
      <c r="AN162" s="341"/>
      <c r="AO162" s="375">
        <v>140000000</v>
      </c>
      <c r="AP162" s="342"/>
      <c r="AQ162" s="342"/>
      <c r="AR162" s="342"/>
      <c r="AS162" s="344"/>
      <c r="AT162" s="336"/>
      <c r="AU162" s="336"/>
      <c r="AV162" s="336"/>
    </row>
    <row r="163" spans="1:48" s="214" customFormat="1">
      <c r="A163" s="217"/>
      <c r="B163" s="339" t="s">
        <v>2114</v>
      </c>
      <c r="C163" s="336" t="s">
        <v>1079</v>
      </c>
      <c r="D163" s="336"/>
      <c r="E163" s="336"/>
      <c r="F163" s="336"/>
      <c r="G163" s="336"/>
      <c r="H163" s="337"/>
      <c r="I163" s="336"/>
      <c r="J163" s="336"/>
      <c r="K163" s="336" t="s">
        <v>1118</v>
      </c>
      <c r="L163" s="336">
        <v>20</v>
      </c>
      <c r="M163" s="336"/>
      <c r="N163" s="338"/>
      <c r="O163" s="338"/>
      <c r="P163" s="336"/>
      <c r="Q163" s="336"/>
      <c r="R163" s="339"/>
      <c r="S163" s="339"/>
      <c r="T163" s="339"/>
      <c r="U163" s="953">
        <v>18280000</v>
      </c>
      <c r="V163" s="953">
        <f>U163*10</f>
        <v>182800000</v>
      </c>
      <c r="W163" s="341">
        <v>17000000</v>
      </c>
      <c r="X163" s="341">
        <v>170000000</v>
      </c>
      <c r="Y163" s="340" t="s">
        <v>1761</v>
      </c>
      <c r="Z163" s="340" t="s">
        <v>1761</v>
      </c>
      <c r="AA163" s="341"/>
      <c r="AB163" s="341"/>
      <c r="AC163" s="341"/>
      <c r="AD163" s="341"/>
      <c r="AE163" s="341"/>
      <c r="AF163" s="341" t="s">
        <v>1761</v>
      </c>
      <c r="AG163" s="953" t="s">
        <v>1761</v>
      </c>
      <c r="AH163" s="341" t="s">
        <v>1761</v>
      </c>
      <c r="AI163" s="341" t="s">
        <v>1761</v>
      </c>
      <c r="AJ163" s="341" t="s">
        <v>1761</v>
      </c>
      <c r="AK163" s="340" t="s">
        <v>1761</v>
      </c>
      <c r="AL163" s="961"/>
      <c r="AM163" s="341" t="s">
        <v>1297</v>
      </c>
      <c r="AN163" s="341"/>
      <c r="AO163" s="341" t="s">
        <v>1761</v>
      </c>
      <c r="AP163" s="342"/>
      <c r="AQ163" s="342"/>
      <c r="AR163" s="342"/>
      <c r="AS163" s="344"/>
      <c r="AT163" s="336"/>
      <c r="AU163" s="336"/>
      <c r="AV163" s="336"/>
    </row>
    <row r="164" spans="1:48" s="214" customFormat="1">
      <c r="A164" s="217">
        <v>2021</v>
      </c>
      <c r="B164" s="339" t="s">
        <v>2087</v>
      </c>
      <c r="C164" s="336" t="s">
        <v>26</v>
      </c>
      <c r="D164" s="336"/>
      <c r="E164" s="336"/>
      <c r="F164" s="377"/>
      <c r="G164" s="377"/>
      <c r="H164" s="337"/>
      <c r="I164" s="336"/>
      <c r="J164" s="336"/>
      <c r="K164" s="336" t="s">
        <v>319</v>
      </c>
      <c r="L164" s="336">
        <v>62</v>
      </c>
      <c r="M164" s="336"/>
      <c r="N164" s="338"/>
      <c r="O164" s="338"/>
      <c r="P164" s="336"/>
      <c r="Q164" s="336"/>
      <c r="R164" s="339"/>
      <c r="S164" s="339"/>
      <c r="T164" s="339"/>
      <c r="U164" s="953">
        <v>20300000</v>
      </c>
      <c r="V164" s="953">
        <f t="shared" ref="V164:V169" si="20">U164*20</f>
        <v>406000000</v>
      </c>
      <c r="W164" s="341">
        <v>17000000</v>
      </c>
      <c r="X164" s="341">
        <f>17000000*20</f>
        <v>340000000</v>
      </c>
      <c r="Y164" s="340">
        <v>3000000</v>
      </c>
      <c r="Z164" s="340">
        <v>25000000</v>
      </c>
      <c r="AA164" s="341"/>
      <c r="AB164" s="341"/>
      <c r="AC164" s="341"/>
      <c r="AD164" s="341"/>
      <c r="AE164" s="341"/>
      <c r="AF164" s="341" t="s">
        <v>1306</v>
      </c>
      <c r="AG164" s="953">
        <v>500000</v>
      </c>
      <c r="AH164" s="341">
        <f>AG164*19</f>
        <v>9500000</v>
      </c>
      <c r="AI164" s="341">
        <v>57000000</v>
      </c>
      <c r="AJ164" s="341">
        <v>82000000</v>
      </c>
      <c r="AK164" s="340">
        <v>15000000</v>
      </c>
      <c r="AL164" s="961">
        <f t="shared" ref="AL164:AL185" si="21">AJ164+AH164</f>
        <v>91500000</v>
      </c>
      <c r="AM164" s="341" t="s">
        <v>2192</v>
      </c>
      <c r="AN164" s="341"/>
      <c r="AO164" s="341">
        <v>527299431</v>
      </c>
      <c r="AP164" s="342"/>
      <c r="AQ164" s="342"/>
      <c r="AR164" s="342"/>
      <c r="AS164" s="344"/>
      <c r="AT164" s="336"/>
      <c r="AU164" s="336"/>
      <c r="AV164" s="336"/>
    </row>
    <row r="165" spans="1:48" s="214" customFormat="1">
      <c r="A165" s="217">
        <v>2021</v>
      </c>
      <c r="B165" s="339" t="s">
        <v>2085</v>
      </c>
      <c r="C165" s="336" t="s">
        <v>26</v>
      </c>
      <c r="D165" s="336"/>
      <c r="E165" s="336"/>
      <c r="F165" s="336"/>
      <c r="G165" s="336"/>
      <c r="H165" s="336"/>
      <c r="I165" s="336"/>
      <c r="J165" s="336"/>
      <c r="K165" s="336" t="s">
        <v>319</v>
      </c>
      <c r="L165" s="336">
        <v>52</v>
      </c>
      <c r="M165" s="336"/>
      <c r="N165" s="336"/>
      <c r="O165" s="336"/>
      <c r="P165" s="336"/>
      <c r="Q165" s="336"/>
      <c r="R165" s="339"/>
      <c r="S165" s="339"/>
      <c r="T165" s="339"/>
      <c r="U165" s="953">
        <v>20300000</v>
      </c>
      <c r="V165" s="953">
        <f t="shared" si="20"/>
        <v>406000000</v>
      </c>
      <c r="W165" s="341">
        <v>17000000</v>
      </c>
      <c r="X165" s="341">
        <f>17000000*20</f>
        <v>340000000</v>
      </c>
      <c r="Y165" s="340">
        <v>3000000</v>
      </c>
      <c r="Z165" s="340">
        <v>25000000</v>
      </c>
      <c r="AA165" s="341"/>
      <c r="AB165" s="341"/>
      <c r="AC165" s="341"/>
      <c r="AD165" s="341"/>
      <c r="AE165" s="341"/>
      <c r="AF165" s="341" t="s">
        <v>1261</v>
      </c>
      <c r="AG165" s="953" t="s">
        <v>2191</v>
      </c>
      <c r="AH165" s="341">
        <v>25500000</v>
      </c>
      <c r="AI165" s="341">
        <v>43500000</v>
      </c>
      <c r="AJ165" s="341">
        <v>68500000</v>
      </c>
      <c r="AK165" s="340">
        <v>15000000</v>
      </c>
      <c r="AL165" s="961">
        <f t="shared" si="21"/>
        <v>94000000</v>
      </c>
      <c r="AM165" s="341" t="s">
        <v>1205</v>
      </c>
      <c r="AN165" s="341"/>
      <c r="AO165" s="341">
        <v>423293218</v>
      </c>
      <c r="AP165" s="342"/>
      <c r="AQ165" s="342"/>
      <c r="AR165" s="342"/>
      <c r="AS165" s="344"/>
      <c r="AT165" s="336"/>
      <c r="AU165" s="336"/>
      <c r="AV165" s="336"/>
    </row>
    <row r="166" spans="1:48" s="214" customFormat="1">
      <c r="A166" s="217">
        <v>2021</v>
      </c>
      <c r="B166" s="339" t="s">
        <v>891</v>
      </c>
      <c r="C166" s="336" t="s">
        <v>26</v>
      </c>
      <c r="D166" s="336"/>
      <c r="E166" s="336"/>
      <c r="F166" s="378"/>
      <c r="G166" s="378"/>
      <c r="H166" s="379"/>
      <c r="I166" s="378"/>
      <c r="J166" s="378"/>
      <c r="K166" s="336" t="s">
        <v>319</v>
      </c>
      <c r="L166" s="336">
        <v>52</v>
      </c>
      <c r="M166" s="336"/>
      <c r="N166" s="338"/>
      <c r="O166" s="338"/>
      <c r="P166" s="336"/>
      <c r="Q166" s="336"/>
      <c r="R166" s="339"/>
      <c r="S166" s="339"/>
      <c r="T166" s="339"/>
      <c r="U166" s="953">
        <v>20300000</v>
      </c>
      <c r="V166" s="953">
        <f t="shared" si="20"/>
        <v>406000000</v>
      </c>
      <c r="W166" s="341">
        <v>18000000</v>
      </c>
      <c r="X166" s="341">
        <f>W166*20</f>
        <v>360000000</v>
      </c>
      <c r="Y166" s="340">
        <v>3000000</v>
      </c>
      <c r="Z166" s="340">
        <v>25000000</v>
      </c>
      <c r="AA166" s="341"/>
      <c r="AB166" s="341"/>
      <c r="AC166" s="341"/>
      <c r="AD166" s="341"/>
      <c r="AE166" s="341"/>
      <c r="AF166" s="341" t="s">
        <v>1274</v>
      </c>
      <c r="AG166" s="953">
        <v>500000</v>
      </c>
      <c r="AH166" s="341">
        <v>18500000</v>
      </c>
      <c r="AI166" s="341">
        <v>55500000</v>
      </c>
      <c r="AJ166" s="341">
        <v>80500000</v>
      </c>
      <c r="AK166" s="340">
        <v>15000000</v>
      </c>
      <c r="AL166" s="961">
        <f t="shared" si="21"/>
        <v>99000000</v>
      </c>
      <c r="AM166" s="341" t="s">
        <v>1205</v>
      </c>
      <c r="AN166" s="341"/>
      <c r="AO166" s="341">
        <v>423293218</v>
      </c>
      <c r="AP166" s="342"/>
      <c r="AQ166" s="342"/>
      <c r="AR166" s="342"/>
      <c r="AS166" s="344"/>
      <c r="AT166" s="336"/>
      <c r="AU166" s="336"/>
      <c r="AV166" s="336"/>
    </row>
    <row r="167" spans="1:48" s="214" customFormat="1">
      <c r="A167" s="217">
        <v>2021</v>
      </c>
      <c r="B167" s="339" t="s">
        <v>56</v>
      </c>
      <c r="C167" s="336" t="s">
        <v>21</v>
      </c>
      <c r="D167" s="380"/>
      <c r="E167" s="381"/>
      <c r="F167" s="336"/>
      <c r="G167" s="336"/>
      <c r="H167" s="336"/>
      <c r="I167" s="336"/>
      <c r="J167" s="336"/>
      <c r="K167" s="336" t="s">
        <v>319</v>
      </c>
      <c r="L167" s="336">
        <v>32</v>
      </c>
      <c r="M167" s="336"/>
      <c r="N167" s="338"/>
      <c r="O167" s="338"/>
      <c r="P167" s="336"/>
      <c r="Q167" s="336"/>
      <c r="R167" s="339"/>
      <c r="S167" s="339"/>
      <c r="T167" s="339"/>
      <c r="U167" s="953">
        <v>23500000</v>
      </c>
      <c r="V167" s="953">
        <f t="shared" si="20"/>
        <v>470000000</v>
      </c>
      <c r="W167" s="341">
        <v>20000000</v>
      </c>
      <c r="X167" s="341">
        <f>W167*11</f>
        <v>220000000</v>
      </c>
      <c r="Y167" s="340">
        <v>3000000</v>
      </c>
      <c r="Z167" s="340">
        <v>25000000</v>
      </c>
      <c r="AA167" s="341"/>
      <c r="AB167" s="341"/>
      <c r="AC167" s="341"/>
      <c r="AD167" s="341"/>
      <c r="AE167" s="341"/>
      <c r="AF167" s="341" t="s">
        <v>1197</v>
      </c>
      <c r="AG167" s="953">
        <v>500000</v>
      </c>
      <c r="AH167" s="341">
        <f>AG167*25</f>
        <v>12500000</v>
      </c>
      <c r="AI167" s="341">
        <v>61500000</v>
      </c>
      <c r="AJ167" s="341">
        <v>86500000</v>
      </c>
      <c r="AK167" s="340">
        <v>15000000</v>
      </c>
      <c r="AL167" s="961">
        <f t="shared" si="21"/>
        <v>99000000</v>
      </c>
      <c r="AM167" s="341" t="s">
        <v>1215</v>
      </c>
      <c r="AN167" s="341"/>
      <c r="AO167" s="341">
        <v>377220384</v>
      </c>
      <c r="AP167" s="342"/>
      <c r="AQ167" s="342"/>
      <c r="AR167" s="342"/>
      <c r="AS167" s="344"/>
      <c r="AT167" s="336"/>
      <c r="AU167" s="336"/>
      <c r="AV167" s="336"/>
    </row>
    <row r="168" spans="1:48" s="214" customFormat="1">
      <c r="A168" s="217">
        <v>2021</v>
      </c>
      <c r="B168" s="339" t="s">
        <v>870</v>
      </c>
      <c r="C168" s="336" t="s">
        <v>19</v>
      </c>
      <c r="D168" s="336"/>
      <c r="E168" s="336"/>
      <c r="F168" s="377"/>
      <c r="G168" s="336"/>
      <c r="H168" s="337"/>
      <c r="I168" s="336"/>
      <c r="J168" s="336"/>
      <c r="K168" s="336" t="s">
        <v>319</v>
      </c>
      <c r="L168" s="336">
        <v>52</v>
      </c>
      <c r="M168" s="336"/>
      <c r="N168" s="338"/>
      <c r="O168" s="338"/>
      <c r="P168" s="336"/>
      <c r="Q168" s="336"/>
      <c r="R168" s="339"/>
      <c r="S168" s="339"/>
      <c r="T168" s="339"/>
      <c r="U168" s="953">
        <v>19600000</v>
      </c>
      <c r="V168" s="953">
        <f t="shared" si="20"/>
        <v>392000000</v>
      </c>
      <c r="W168" s="341">
        <v>15000000</v>
      </c>
      <c r="X168" s="341">
        <f>W168*20</f>
        <v>300000000</v>
      </c>
      <c r="Y168" s="340">
        <v>3000000</v>
      </c>
      <c r="Z168" s="340">
        <v>25000000</v>
      </c>
      <c r="AA168" s="341"/>
      <c r="AB168" s="341"/>
      <c r="AC168" s="341"/>
      <c r="AD168" s="341"/>
      <c r="AE168" s="382"/>
      <c r="AF168" s="341" t="s">
        <v>1306</v>
      </c>
      <c r="AG168" s="953">
        <v>500000</v>
      </c>
      <c r="AH168" s="341">
        <f>AG168*19</f>
        <v>9500000</v>
      </c>
      <c r="AI168" s="341">
        <v>46000000</v>
      </c>
      <c r="AJ168" s="341">
        <v>71000000</v>
      </c>
      <c r="AK168" s="340">
        <v>15000000</v>
      </c>
      <c r="AL168" s="961">
        <f t="shared" si="21"/>
        <v>80500000</v>
      </c>
      <c r="AM168" s="341" t="s">
        <v>1205</v>
      </c>
      <c r="AN168" s="341"/>
      <c r="AO168" s="341">
        <v>423293218</v>
      </c>
      <c r="AP168" s="342"/>
      <c r="AQ168" s="356"/>
      <c r="AR168" s="356"/>
      <c r="AS168" s="344"/>
      <c r="AT168" s="336"/>
      <c r="AU168" s="336"/>
      <c r="AV168" s="336"/>
    </row>
    <row r="169" spans="1:48" s="214" customFormat="1">
      <c r="A169" s="217">
        <v>2021</v>
      </c>
      <c r="B169" s="339" t="s">
        <v>2086</v>
      </c>
      <c r="C169" s="336" t="s">
        <v>12</v>
      </c>
      <c r="D169" s="336"/>
      <c r="E169" s="336"/>
      <c r="F169" s="336"/>
      <c r="G169" s="336"/>
      <c r="H169" s="336"/>
      <c r="I169" s="336"/>
      <c r="J169" s="336"/>
      <c r="K169" s="336" t="s">
        <v>319</v>
      </c>
      <c r="L169" s="336">
        <v>62</v>
      </c>
      <c r="M169" s="336"/>
      <c r="N169" s="338"/>
      <c r="O169" s="338"/>
      <c r="P169" s="336"/>
      <c r="Q169" s="336"/>
      <c r="R169" s="339"/>
      <c r="S169" s="339"/>
      <c r="T169" s="339"/>
      <c r="U169" s="953">
        <v>22500000</v>
      </c>
      <c r="V169" s="953">
        <f t="shared" si="20"/>
        <v>450000000</v>
      </c>
      <c r="W169" s="341">
        <v>17000000</v>
      </c>
      <c r="X169" s="341">
        <f>W169*20</f>
        <v>340000000</v>
      </c>
      <c r="Y169" s="340">
        <v>3000000</v>
      </c>
      <c r="Z169" s="340">
        <v>25000000</v>
      </c>
      <c r="AA169" s="341"/>
      <c r="AB169" s="341"/>
      <c r="AC169" s="341"/>
      <c r="AD169" s="341"/>
      <c r="AE169" s="382"/>
      <c r="AF169" s="341" t="s">
        <v>1201</v>
      </c>
      <c r="AG169" s="953">
        <v>500000</v>
      </c>
      <c r="AH169" s="341">
        <f>AG169*38</f>
        <v>19000000</v>
      </c>
      <c r="AI169" s="341">
        <v>47000000</v>
      </c>
      <c r="AJ169" s="341">
        <v>72000000</v>
      </c>
      <c r="AK169" s="340">
        <v>15000000</v>
      </c>
      <c r="AL169" s="961">
        <f t="shared" si="21"/>
        <v>91000000</v>
      </c>
      <c r="AM169" s="341" t="s">
        <v>2192</v>
      </c>
      <c r="AN169" s="376"/>
      <c r="AO169" s="341">
        <v>527299431</v>
      </c>
      <c r="AP169" s="356"/>
      <c r="AQ169" s="356"/>
      <c r="AR169" s="356"/>
      <c r="AS169" s="344"/>
      <c r="AT169" s="336"/>
      <c r="AU169" s="336"/>
      <c r="AV169" s="336"/>
    </row>
    <row r="170" spans="1:48" s="214" customFormat="1">
      <c r="A170" s="217">
        <v>2021</v>
      </c>
      <c r="B170" s="339" t="s">
        <v>937</v>
      </c>
      <c r="C170" s="336" t="s">
        <v>26</v>
      </c>
      <c r="D170" s="336"/>
      <c r="E170" s="336"/>
      <c r="F170" s="336"/>
      <c r="G170" s="336"/>
      <c r="H170" s="336"/>
      <c r="I170" s="336"/>
      <c r="J170" s="336"/>
      <c r="K170" s="336" t="s">
        <v>319</v>
      </c>
      <c r="L170" s="336">
        <v>62</v>
      </c>
      <c r="M170" s="336"/>
      <c r="N170" s="338"/>
      <c r="O170" s="338"/>
      <c r="P170" s="336"/>
      <c r="Q170" s="336"/>
      <c r="R170" s="339"/>
      <c r="S170" s="339"/>
      <c r="T170" s="339"/>
      <c r="U170" s="953">
        <v>20300000</v>
      </c>
      <c r="V170" s="953">
        <f t="shared" ref="V170:V175" si="22">U170*20</f>
        <v>406000000</v>
      </c>
      <c r="W170" s="341">
        <v>19000000</v>
      </c>
      <c r="X170" s="341">
        <f>W170*20</f>
        <v>380000000</v>
      </c>
      <c r="Y170" s="340">
        <v>3000000</v>
      </c>
      <c r="Z170" s="340">
        <v>25000000</v>
      </c>
      <c r="AA170" s="341"/>
      <c r="AB170" s="341"/>
      <c r="AC170" s="341"/>
      <c r="AD170" s="341"/>
      <c r="AE170" s="382"/>
      <c r="AF170" s="341" t="s">
        <v>1222</v>
      </c>
      <c r="AG170" s="953">
        <v>700000</v>
      </c>
      <c r="AH170" s="341">
        <f>AG170*23</f>
        <v>16100000</v>
      </c>
      <c r="AI170" s="341">
        <v>57500000</v>
      </c>
      <c r="AJ170" s="341">
        <v>82500000</v>
      </c>
      <c r="AK170" s="340">
        <v>15000000</v>
      </c>
      <c r="AL170" s="961">
        <f t="shared" si="21"/>
        <v>98600000</v>
      </c>
      <c r="AM170" s="341" t="s">
        <v>2192</v>
      </c>
      <c r="AN170" s="376"/>
      <c r="AO170" s="341">
        <v>527299431</v>
      </c>
      <c r="AP170" s="356"/>
      <c r="AQ170" s="356"/>
      <c r="AR170" s="356"/>
      <c r="AS170" s="344"/>
      <c r="AT170" s="336"/>
      <c r="AU170" s="336"/>
      <c r="AV170" s="336"/>
    </row>
    <row r="171" spans="1:48" s="214" customFormat="1">
      <c r="A171" s="217">
        <v>2021</v>
      </c>
      <c r="B171" s="502" t="s">
        <v>899</v>
      </c>
      <c r="C171" s="336" t="s">
        <v>19</v>
      </c>
      <c r="D171" s="336"/>
      <c r="E171" s="336"/>
      <c r="F171" s="336"/>
      <c r="G171" s="336"/>
      <c r="H171" s="336"/>
      <c r="I171" s="336"/>
      <c r="J171" s="336"/>
      <c r="K171" s="336" t="s">
        <v>319</v>
      </c>
      <c r="L171" s="336">
        <v>52</v>
      </c>
      <c r="M171" s="336"/>
      <c r="N171" s="338"/>
      <c r="O171" s="338"/>
      <c r="P171" s="336"/>
      <c r="Q171" s="336"/>
      <c r="R171" s="339"/>
      <c r="S171" s="339"/>
      <c r="T171" s="339"/>
      <c r="U171" s="953">
        <v>19603448</v>
      </c>
      <c r="V171" s="953">
        <f t="shared" si="22"/>
        <v>392068960</v>
      </c>
      <c r="W171" s="341">
        <v>18000000</v>
      </c>
      <c r="X171" s="341">
        <f>W171*20</f>
        <v>360000000</v>
      </c>
      <c r="Y171" s="340">
        <v>3000000</v>
      </c>
      <c r="Z171" s="340">
        <v>25000000</v>
      </c>
      <c r="AA171" s="341"/>
      <c r="AB171" s="341"/>
      <c r="AC171" s="341"/>
      <c r="AD171" s="341"/>
      <c r="AE171" s="382"/>
      <c r="AF171" s="341" t="s">
        <v>1324</v>
      </c>
      <c r="AG171" s="953">
        <v>300000</v>
      </c>
      <c r="AH171" s="344">
        <v>25500000</v>
      </c>
      <c r="AI171" s="341">
        <f>AJ171-Z171</f>
        <v>44500000</v>
      </c>
      <c r="AJ171" s="341">
        <f>95000000-AH171</f>
        <v>69500000</v>
      </c>
      <c r="AK171" s="340">
        <v>15000000</v>
      </c>
      <c r="AL171" s="961">
        <f t="shared" si="21"/>
        <v>95000000</v>
      </c>
      <c r="AM171" s="368" t="s">
        <v>1205</v>
      </c>
      <c r="AN171" s="371"/>
      <c r="AO171" s="341">
        <v>423293218</v>
      </c>
      <c r="AP171" s="356"/>
      <c r="AQ171" s="356"/>
      <c r="AR171" s="356"/>
      <c r="AS171" s="344"/>
      <c r="AT171" s="344"/>
      <c r="AU171" s="336"/>
      <c r="AV171" s="336"/>
    </row>
    <row r="172" spans="1:48" s="214" customFormat="1">
      <c r="A172" s="217">
        <v>2021</v>
      </c>
      <c r="B172" s="339" t="s">
        <v>2161</v>
      </c>
      <c r="C172" s="336" t="s">
        <v>12</v>
      </c>
      <c r="D172" s="336"/>
      <c r="E172" s="339"/>
      <c r="F172" s="336"/>
      <c r="G172" s="336"/>
      <c r="H172" s="336"/>
      <c r="I172" s="336"/>
      <c r="J172" s="336"/>
      <c r="K172" s="336" t="s">
        <v>319</v>
      </c>
      <c r="L172" s="336">
        <v>52</v>
      </c>
      <c r="M172" s="369"/>
      <c r="N172" s="368"/>
      <c r="O172" s="369"/>
      <c r="P172" s="368"/>
      <c r="Q172" s="368"/>
      <c r="R172" s="334"/>
      <c r="S172" s="334"/>
      <c r="T172" s="334"/>
      <c r="U172" s="953">
        <v>22500000</v>
      </c>
      <c r="V172" s="953">
        <f t="shared" si="22"/>
        <v>450000000</v>
      </c>
      <c r="W172" s="341">
        <v>23000000</v>
      </c>
      <c r="X172" s="341">
        <f>W172*11</f>
        <v>253000000</v>
      </c>
      <c r="Y172" s="340">
        <v>3000000</v>
      </c>
      <c r="Z172" s="340">
        <v>25000000</v>
      </c>
      <c r="AA172" s="368"/>
      <c r="AB172" s="368"/>
      <c r="AC172" s="368"/>
      <c r="AD172" s="368"/>
      <c r="AE172" s="368"/>
      <c r="AF172" s="368" t="s">
        <v>2235</v>
      </c>
      <c r="AG172" s="953" t="s">
        <v>2234</v>
      </c>
      <c r="AH172" s="344">
        <v>21000000</v>
      </c>
      <c r="AI172" s="341">
        <v>53500000</v>
      </c>
      <c r="AJ172" s="341">
        <v>78500000</v>
      </c>
      <c r="AK172" s="340">
        <v>15000000</v>
      </c>
      <c r="AL172" s="961">
        <f t="shared" si="21"/>
        <v>99500000</v>
      </c>
      <c r="AM172" s="368" t="s">
        <v>1205</v>
      </c>
      <c r="AN172" s="371"/>
      <c r="AO172" s="341">
        <v>423293218</v>
      </c>
      <c r="AP172" s="383"/>
      <c r="AQ172" s="383"/>
      <c r="AR172" s="383"/>
      <c r="AS172" s="344"/>
      <c r="AT172" s="368"/>
      <c r="AU172" s="336"/>
      <c r="AV172" s="336"/>
    </row>
    <row r="173" spans="1:48" s="217" customFormat="1">
      <c r="A173" s="217">
        <v>2021</v>
      </c>
      <c r="B173" s="502" t="s">
        <v>879</v>
      </c>
      <c r="C173" s="336" t="s">
        <v>12</v>
      </c>
      <c r="D173" s="336"/>
      <c r="E173" s="339"/>
      <c r="F173" s="336"/>
      <c r="G173" s="336"/>
      <c r="H173" s="336"/>
      <c r="I173" s="336"/>
      <c r="J173" s="336"/>
      <c r="K173" s="336" t="s">
        <v>319</v>
      </c>
      <c r="L173" s="336">
        <v>52</v>
      </c>
      <c r="M173" s="367"/>
      <c r="N173" s="368"/>
      <c r="O173" s="369"/>
      <c r="P173" s="369"/>
      <c r="Q173" s="370"/>
      <c r="R173" s="370"/>
      <c r="S173" s="370"/>
      <c r="T173" s="370"/>
      <c r="U173" s="953">
        <v>22500000</v>
      </c>
      <c r="V173" s="953">
        <f t="shared" si="22"/>
        <v>450000000</v>
      </c>
      <c r="W173" s="341">
        <v>30000000</v>
      </c>
      <c r="X173" s="341">
        <f>W173*11</f>
        <v>330000000</v>
      </c>
      <c r="Y173" s="340">
        <v>3000000</v>
      </c>
      <c r="Z173" s="340">
        <v>25000000</v>
      </c>
      <c r="AA173" s="341"/>
      <c r="AB173" s="372"/>
      <c r="AC173" s="372"/>
      <c r="AD173" s="341"/>
      <c r="AE173" s="382"/>
      <c r="AF173" s="341" t="s">
        <v>2251</v>
      </c>
      <c r="AG173" s="953">
        <v>1000000</v>
      </c>
      <c r="AH173" s="341">
        <v>5000000</v>
      </c>
      <c r="AI173" s="341">
        <v>61500000</v>
      </c>
      <c r="AJ173" s="341">
        <v>86500000</v>
      </c>
      <c r="AK173" s="340">
        <v>15000000</v>
      </c>
      <c r="AL173" s="961">
        <f t="shared" si="21"/>
        <v>91500000</v>
      </c>
      <c r="AM173" s="368" t="s">
        <v>1205</v>
      </c>
      <c r="AN173" s="341">
        <v>423293218</v>
      </c>
      <c r="AO173" s="341">
        <v>423293218</v>
      </c>
      <c r="AP173" s="356"/>
      <c r="AQ173" s="356"/>
      <c r="AR173" s="356"/>
      <c r="AS173" s="344"/>
      <c r="AT173" s="344"/>
      <c r="AU173" s="368"/>
      <c r="AV173" s="368"/>
    </row>
    <row r="174" spans="1:48" s="217" customFormat="1">
      <c r="A174" s="217">
        <v>2021</v>
      </c>
      <c r="B174" s="547" t="s">
        <v>2204</v>
      </c>
      <c r="C174" s="336" t="s">
        <v>772</v>
      </c>
      <c r="D174" s="336"/>
      <c r="E174" s="339"/>
      <c r="F174" s="336"/>
      <c r="G174" s="336"/>
      <c r="H174" s="336"/>
      <c r="I174" s="336"/>
      <c r="J174" s="336"/>
      <c r="K174" s="336" t="s">
        <v>319</v>
      </c>
      <c r="L174" s="336">
        <v>42</v>
      </c>
      <c r="M174" s="367"/>
      <c r="N174" s="368"/>
      <c r="O174" s="369"/>
      <c r="P174" s="369"/>
      <c r="Q174" s="370"/>
      <c r="R174" s="370"/>
      <c r="S174" s="370"/>
      <c r="T174" s="370"/>
      <c r="U174" s="953">
        <v>17000000</v>
      </c>
      <c r="V174" s="953">
        <f t="shared" si="22"/>
        <v>340000000</v>
      </c>
      <c r="W174" s="341">
        <v>20000000</v>
      </c>
      <c r="X174" s="341">
        <f>W174*11</f>
        <v>220000000</v>
      </c>
      <c r="Y174" s="340">
        <v>3000000</v>
      </c>
      <c r="Z174" s="340">
        <v>25000000</v>
      </c>
      <c r="AA174" s="341" t="s">
        <v>2251</v>
      </c>
      <c r="AB174" s="341">
        <v>1000000</v>
      </c>
      <c r="AC174" s="341">
        <v>5000000</v>
      </c>
      <c r="AD174" s="341">
        <v>61500000</v>
      </c>
      <c r="AE174" s="341">
        <v>86500000</v>
      </c>
      <c r="AF174" s="368" t="s">
        <v>1248</v>
      </c>
      <c r="AG174" s="953">
        <v>400000</v>
      </c>
      <c r="AH174" s="341">
        <f>AG174*31</f>
        <v>12400000</v>
      </c>
      <c r="AI174" s="341">
        <v>56600000</v>
      </c>
      <c r="AJ174" s="341">
        <v>81600000</v>
      </c>
      <c r="AK174" s="340">
        <v>15000000</v>
      </c>
      <c r="AL174" s="961">
        <f t="shared" si="21"/>
        <v>94000000</v>
      </c>
      <c r="AM174" s="341" t="s">
        <v>1208</v>
      </c>
      <c r="AN174" s="371"/>
      <c r="AO174" s="341">
        <v>353505181</v>
      </c>
      <c r="AP174" s="356"/>
      <c r="AQ174" s="356"/>
      <c r="AR174" s="356"/>
      <c r="AS174" s="344"/>
      <c r="AT174" s="344"/>
      <c r="AU174" s="368"/>
      <c r="AV174" s="368"/>
    </row>
    <row r="175" spans="1:48" s="217" customFormat="1">
      <c r="A175" s="217">
        <v>2021</v>
      </c>
      <c r="B175" s="339" t="s">
        <v>919</v>
      </c>
      <c r="C175" s="336" t="s">
        <v>26</v>
      </c>
      <c r="D175" s="336"/>
      <c r="E175" s="339"/>
      <c r="F175" s="336"/>
      <c r="G175" s="336"/>
      <c r="H175" s="336"/>
      <c r="I175" s="336"/>
      <c r="J175" s="336"/>
      <c r="K175" s="336" t="s">
        <v>319</v>
      </c>
      <c r="L175" s="336">
        <v>52</v>
      </c>
      <c r="M175" s="367"/>
      <c r="N175" s="368"/>
      <c r="O175" s="369"/>
      <c r="P175" s="369"/>
      <c r="Q175" s="370"/>
      <c r="R175" s="370"/>
      <c r="S175" s="370"/>
      <c r="T175" s="370"/>
      <c r="U175" s="953">
        <v>20300000</v>
      </c>
      <c r="V175" s="953">
        <f t="shared" si="22"/>
        <v>406000000</v>
      </c>
      <c r="W175" s="341">
        <v>17000000</v>
      </c>
      <c r="X175" s="341">
        <f>W175*20</f>
        <v>340000000</v>
      </c>
      <c r="Y175" s="340">
        <v>3000000</v>
      </c>
      <c r="Z175" s="340">
        <v>25000000</v>
      </c>
      <c r="AA175" s="341"/>
      <c r="AB175" s="372"/>
      <c r="AC175" s="372"/>
      <c r="AD175" s="341"/>
      <c r="AE175" s="382"/>
      <c r="AF175" s="341" t="s">
        <v>2289</v>
      </c>
      <c r="AG175" s="953" t="s">
        <v>2290</v>
      </c>
      <c r="AH175" s="341">
        <v>29750000</v>
      </c>
      <c r="AI175" s="341">
        <v>45000000</v>
      </c>
      <c r="AJ175" s="341">
        <v>70000000</v>
      </c>
      <c r="AK175" s="340">
        <v>15000000</v>
      </c>
      <c r="AL175" s="961">
        <f t="shared" si="21"/>
        <v>99750000</v>
      </c>
      <c r="AM175" s="368" t="s">
        <v>1205</v>
      </c>
      <c r="AN175" s="371"/>
      <c r="AO175" s="341">
        <v>423293218</v>
      </c>
      <c r="AP175" s="356"/>
      <c r="AQ175" s="356"/>
      <c r="AR175" s="356"/>
      <c r="AS175" s="344"/>
      <c r="AT175" s="344"/>
      <c r="AU175" s="368"/>
      <c r="AV175" s="368"/>
    </row>
    <row r="176" spans="1:48" s="217" customFormat="1">
      <c r="A176" s="217">
        <v>2021</v>
      </c>
      <c r="B176" s="502" t="s">
        <v>2084</v>
      </c>
      <c r="C176" s="336" t="s">
        <v>26</v>
      </c>
      <c r="D176" s="336"/>
      <c r="E176" s="339"/>
      <c r="F176" s="336"/>
      <c r="G176" s="336"/>
      <c r="H176" s="336"/>
      <c r="I176" s="336"/>
      <c r="J176" s="336"/>
      <c r="K176" s="336" t="s">
        <v>319</v>
      </c>
      <c r="L176" s="336">
        <v>62</v>
      </c>
      <c r="M176" s="367"/>
      <c r="N176" s="368"/>
      <c r="O176" s="369"/>
      <c r="P176" s="369"/>
      <c r="Q176" s="370"/>
      <c r="R176" s="370"/>
      <c r="S176" s="370"/>
      <c r="T176" s="370"/>
      <c r="U176" s="953">
        <v>20300000</v>
      </c>
      <c r="V176" s="953">
        <f>U176*20</f>
        <v>406000000</v>
      </c>
      <c r="W176" s="341">
        <v>20000000</v>
      </c>
      <c r="X176" s="341">
        <f>W176*10</f>
        <v>200000000</v>
      </c>
      <c r="Y176" s="340">
        <v>3000000</v>
      </c>
      <c r="Z176" s="340">
        <v>25000000</v>
      </c>
      <c r="AA176" s="341"/>
      <c r="AB176" s="372"/>
      <c r="AC176" s="372"/>
      <c r="AD176" s="341"/>
      <c r="AE176" s="382"/>
      <c r="AF176" s="341" t="s">
        <v>2537</v>
      </c>
      <c r="AG176" s="953">
        <v>1000000</v>
      </c>
      <c r="AH176" s="341">
        <v>32800000</v>
      </c>
      <c r="AI176" s="341">
        <f>AJ176-Z176</f>
        <v>40200000</v>
      </c>
      <c r="AJ176" s="341">
        <f>AL176-AH176</f>
        <v>65200000</v>
      </c>
      <c r="AK176" s="340">
        <v>15000000</v>
      </c>
      <c r="AL176" s="961">
        <v>98000000</v>
      </c>
      <c r="AM176" s="368" t="s">
        <v>1205</v>
      </c>
      <c r="AN176" s="371"/>
      <c r="AO176" s="341">
        <v>423293218</v>
      </c>
      <c r="AP176" s="356"/>
      <c r="AQ176" s="356"/>
      <c r="AR176" s="356"/>
      <c r="AS176" s="344"/>
      <c r="AT176" s="344"/>
      <c r="AU176" s="368"/>
      <c r="AV176" s="368"/>
    </row>
    <row r="177" spans="1:48">
      <c r="A177" s="217">
        <v>2021</v>
      </c>
      <c r="B177" s="502" t="s">
        <v>911</v>
      </c>
      <c r="C177" s="336" t="s">
        <v>19</v>
      </c>
      <c r="D177" s="336"/>
      <c r="E177" s="339"/>
      <c r="F177" s="336"/>
      <c r="G177" s="336"/>
      <c r="H177" s="336"/>
      <c r="I177" s="336"/>
      <c r="J177" s="336"/>
      <c r="K177" s="336" t="s">
        <v>2315</v>
      </c>
      <c r="L177" s="336">
        <v>32</v>
      </c>
      <c r="M177" s="367"/>
      <c r="N177" s="368"/>
      <c r="Q177" s="370"/>
      <c r="R177" s="370"/>
      <c r="S177" s="370"/>
      <c r="T177" s="370"/>
      <c r="U177" s="953">
        <v>19600000</v>
      </c>
      <c r="V177" s="953">
        <f>U177*20</f>
        <v>392000000</v>
      </c>
      <c r="W177" s="341">
        <v>18181818</v>
      </c>
      <c r="X177" s="341">
        <v>200000000</v>
      </c>
      <c r="Y177" s="340">
        <v>3000000</v>
      </c>
      <c r="Z177" s="340">
        <v>25000000</v>
      </c>
      <c r="AA177" s="341"/>
      <c r="AB177" s="372"/>
      <c r="AC177" s="372"/>
      <c r="AD177" s="341"/>
      <c r="AE177" s="382"/>
      <c r="AF177" s="341" t="s">
        <v>1329</v>
      </c>
      <c r="AG177" s="953">
        <v>300000</v>
      </c>
      <c r="AH177" s="341">
        <f>AG177*40</f>
        <v>12000000</v>
      </c>
      <c r="AI177" s="341">
        <v>60000000</v>
      </c>
      <c r="AJ177" s="341">
        <v>85000000</v>
      </c>
      <c r="AK177" s="340">
        <v>15000000</v>
      </c>
      <c r="AL177" s="961">
        <f t="shared" si="21"/>
        <v>97000000</v>
      </c>
      <c r="AM177" s="368" t="s">
        <v>1215</v>
      </c>
      <c r="AN177" s="371"/>
      <c r="AO177" s="341">
        <v>336315892</v>
      </c>
      <c r="AP177" s="356"/>
      <c r="AQ177" s="356"/>
      <c r="AR177" s="356"/>
      <c r="AS177" s="344"/>
      <c r="AT177" s="344"/>
    </row>
    <row r="178" spans="1:48">
      <c r="A178" s="217">
        <v>2021</v>
      </c>
      <c r="B178" s="502" t="s">
        <v>2278</v>
      </c>
      <c r="C178" s="336" t="s">
        <v>505</v>
      </c>
      <c r="D178" s="336"/>
      <c r="E178" s="339"/>
      <c r="F178" s="336"/>
      <c r="G178" s="336"/>
      <c r="H178" s="336"/>
      <c r="I178" s="336"/>
      <c r="J178" s="336"/>
      <c r="K178" s="336" t="s">
        <v>1118</v>
      </c>
      <c r="L178" s="336">
        <v>25</v>
      </c>
      <c r="M178" s="367"/>
      <c r="N178" s="368"/>
      <c r="Q178" s="370"/>
      <c r="R178" s="370"/>
      <c r="S178" s="370"/>
      <c r="T178" s="370"/>
      <c r="U178" s="953">
        <v>17000000</v>
      </c>
      <c r="V178" s="953">
        <f>U178*20</f>
        <v>340000000</v>
      </c>
      <c r="W178" s="341">
        <v>18500000</v>
      </c>
      <c r="X178" s="341">
        <f>W178*20</f>
        <v>370000000</v>
      </c>
      <c r="Y178" s="340" t="s">
        <v>1761</v>
      </c>
      <c r="Z178" s="340" t="s">
        <v>1761</v>
      </c>
      <c r="AA178" s="341"/>
      <c r="AB178" s="372"/>
      <c r="AC178" s="372"/>
      <c r="AD178" s="341"/>
      <c r="AE178" s="382"/>
      <c r="AF178" s="341" t="s">
        <v>1197</v>
      </c>
      <c r="AG178" s="953" t="s">
        <v>1761</v>
      </c>
      <c r="AH178" s="341" t="s">
        <v>1761</v>
      </c>
      <c r="AI178" s="341" t="s">
        <v>1761</v>
      </c>
      <c r="AJ178" s="341" t="s">
        <v>1761</v>
      </c>
      <c r="AK178" s="340" t="s">
        <v>1761</v>
      </c>
      <c r="AL178" s="961"/>
      <c r="AM178" s="368" t="s">
        <v>1382</v>
      </c>
      <c r="AN178" s="371"/>
      <c r="AO178" s="341">
        <v>262625556</v>
      </c>
      <c r="AP178" s="356"/>
      <c r="AQ178" s="356"/>
      <c r="AR178" s="356"/>
      <c r="AS178" s="344"/>
      <c r="AT178" s="344"/>
    </row>
    <row r="179" spans="1:48">
      <c r="A179" s="217">
        <v>2021</v>
      </c>
      <c r="B179" s="338" t="s">
        <v>2200</v>
      </c>
      <c r="C179" s="336" t="s">
        <v>2212</v>
      </c>
      <c r="D179" s="336"/>
      <c r="E179" s="339"/>
      <c r="F179" s="336"/>
      <c r="G179" s="336"/>
      <c r="H179" s="336"/>
      <c r="I179" s="336"/>
      <c r="J179" s="336"/>
      <c r="K179" s="336" t="s">
        <v>319</v>
      </c>
      <c r="L179" s="336">
        <v>52</v>
      </c>
      <c r="M179" s="367"/>
      <c r="N179" s="368"/>
      <c r="Q179" s="370"/>
      <c r="R179" s="370"/>
      <c r="S179" s="370"/>
      <c r="T179" s="370"/>
      <c r="U179" s="953">
        <v>21179826</v>
      </c>
      <c r="V179" s="953">
        <f>U179*20</f>
        <v>423596520</v>
      </c>
      <c r="W179" s="341">
        <v>20000000</v>
      </c>
      <c r="X179" s="341">
        <f>W179*20</f>
        <v>400000000</v>
      </c>
      <c r="Y179" s="340">
        <v>3000000</v>
      </c>
      <c r="Z179" s="340">
        <v>25000000</v>
      </c>
      <c r="AA179" s="341"/>
      <c r="AB179" s="372"/>
      <c r="AC179" s="372"/>
      <c r="AD179" s="341"/>
      <c r="AE179" s="382"/>
      <c r="AF179" s="341" t="s">
        <v>1240</v>
      </c>
      <c r="AG179" s="953">
        <v>500000</v>
      </c>
      <c r="AH179" s="341">
        <v>9000000</v>
      </c>
      <c r="AI179" s="341">
        <v>61000000</v>
      </c>
      <c r="AJ179" s="341">
        <v>86000000</v>
      </c>
      <c r="AK179" s="373">
        <v>15000000</v>
      </c>
      <c r="AL179" s="961">
        <f t="shared" si="21"/>
        <v>95000000</v>
      </c>
      <c r="AM179" s="368" t="s">
        <v>1205</v>
      </c>
      <c r="AN179" s="371"/>
      <c r="AO179" s="341">
        <v>423293218</v>
      </c>
      <c r="AP179" s="356"/>
      <c r="AQ179" s="356"/>
      <c r="AR179" s="356"/>
      <c r="AS179" s="344"/>
      <c r="AT179" s="344"/>
    </row>
    <row r="180" spans="1:48">
      <c r="A180" s="217">
        <v>2021</v>
      </c>
      <c r="B180" s="338" t="s">
        <v>2202</v>
      </c>
      <c r="C180" s="336" t="s">
        <v>21</v>
      </c>
      <c r="D180" s="336"/>
      <c r="E180" s="339"/>
      <c r="F180" s="336"/>
      <c r="G180" s="336"/>
      <c r="H180" s="336"/>
      <c r="I180" s="336"/>
      <c r="J180" s="336"/>
      <c r="K180" s="336" t="s">
        <v>1118</v>
      </c>
      <c r="L180" s="336">
        <v>25</v>
      </c>
      <c r="M180" s="367"/>
      <c r="N180" s="368"/>
      <c r="Q180" s="370"/>
      <c r="R180" s="370"/>
      <c r="S180" s="370"/>
      <c r="T180" s="370"/>
      <c r="U180" s="953">
        <v>23500000</v>
      </c>
      <c r="V180" s="953">
        <f>U180*20</f>
        <v>470000000</v>
      </c>
      <c r="W180" s="341">
        <v>17000000</v>
      </c>
      <c r="X180" s="341">
        <f>W180*10</f>
        <v>170000000</v>
      </c>
      <c r="Y180" s="340">
        <v>3000000</v>
      </c>
      <c r="Z180" s="340">
        <v>15000000</v>
      </c>
      <c r="AA180" s="341"/>
      <c r="AB180" s="372"/>
      <c r="AC180" s="372"/>
      <c r="AD180" s="341"/>
      <c r="AE180" s="382"/>
      <c r="AF180" s="341" t="s">
        <v>1299</v>
      </c>
      <c r="AG180" s="953" t="s">
        <v>2332</v>
      </c>
      <c r="AH180" s="341">
        <v>5200000</v>
      </c>
      <c r="AI180" s="341">
        <v>68000000</v>
      </c>
      <c r="AJ180" s="341">
        <v>83000000</v>
      </c>
      <c r="AK180" s="373">
        <v>15000000</v>
      </c>
      <c r="AL180" s="961">
        <f t="shared" si="21"/>
        <v>88200000</v>
      </c>
      <c r="AM180" s="368" t="s">
        <v>1382</v>
      </c>
      <c r="AN180" s="371"/>
      <c r="AO180" s="341">
        <v>262625556</v>
      </c>
      <c r="AP180" s="356"/>
      <c r="AQ180" s="356"/>
      <c r="AR180" s="356"/>
      <c r="AS180" s="344"/>
      <c r="AT180" s="344"/>
    </row>
    <row r="181" spans="1:48">
      <c r="A181" s="217">
        <v>2021</v>
      </c>
      <c r="B181" s="338" t="s">
        <v>2280</v>
      </c>
      <c r="C181" s="336" t="s">
        <v>35</v>
      </c>
      <c r="D181" s="336"/>
      <c r="E181" s="339"/>
      <c r="F181" s="336"/>
      <c r="G181" s="336"/>
      <c r="H181" s="336"/>
      <c r="I181" s="336"/>
      <c r="J181" s="336"/>
      <c r="K181" s="336" t="s">
        <v>1118</v>
      </c>
      <c r="L181" s="336">
        <v>25</v>
      </c>
      <c r="M181" s="367"/>
      <c r="N181" s="368"/>
      <c r="Q181" s="370"/>
      <c r="R181" s="370"/>
      <c r="S181" s="370"/>
      <c r="T181" s="370"/>
      <c r="U181" s="953">
        <v>18750000</v>
      </c>
      <c r="V181" s="953">
        <f>U181*11</f>
        <v>206250000</v>
      </c>
      <c r="W181" s="341">
        <v>17000000</v>
      </c>
      <c r="X181" s="341">
        <f>W181*20</f>
        <v>340000000</v>
      </c>
      <c r="Y181" s="340" t="s">
        <v>1761</v>
      </c>
      <c r="Z181" s="340" t="s">
        <v>1761</v>
      </c>
      <c r="AA181" s="341"/>
      <c r="AB181" s="372"/>
      <c r="AC181" s="372"/>
      <c r="AD181" s="341"/>
      <c r="AE181" s="382"/>
      <c r="AF181" s="341" t="s">
        <v>1761</v>
      </c>
      <c r="AG181" s="953" t="s">
        <v>1761</v>
      </c>
      <c r="AH181" s="341" t="s">
        <v>1761</v>
      </c>
      <c r="AI181" s="341" t="s">
        <v>1761</v>
      </c>
      <c r="AJ181" s="341" t="s">
        <v>1761</v>
      </c>
      <c r="AK181" s="340" t="s">
        <v>1761</v>
      </c>
      <c r="AL181" s="961"/>
      <c r="AM181" s="368" t="s">
        <v>1382</v>
      </c>
      <c r="AN181" s="371"/>
      <c r="AO181" s="341">
        <v>262625556</v>
      </c>
      <c r="AP181" s="342"/>
      <c r="AQ181" s="356"/>
      <c r="AR181" s="356"/>
      <c r="AS181" s="344"/>
      <c r="AT181" s="344"/>
    </row>
    <row r="182" spans="1:48">
      <c r="A182" s="217">
        <v>2021</v>
      </c>
      <c r="B182" s="338" t="s">
        <v>2201</v>
      </c>
      <c r="C182" s="336" t="s">
        <v>26</v>
      </c>
      <c r="D182" s="336"/>
      <c r="E182" s="339"/>
      <c r="F182" s="336"/>
      <c r="G182" s="336"/>
      <c r="H182" s="336"/>
      <c r="I182" s="336"/>
      <c r="J182" s="336"/>
      <c r="K182" s="336" t="s">
        <v>319</v>
      </c>
      <c r="L182" s="336">
        <v>52</v>
      </c>
      <c r="M182" s="367"/>
      <c r="N182" s="368"/>
      <c r="Q182" s="370"/>
      <c r="R182" s="370"/>
      <c r="S182" s="370"/>
      <c r="T182" s="370"/>
      <c r="U182" s="953">
        <v>20300000</v>
      </c>
      <c r="V182" s="953">
        <f>U182*20</f>
        <v>406000000</v>
      </c>
      <c r="W182" s="341">
        <v>18000000</v>
      </c>
      <c r="X182" s="341">
        <f>W182*20</f>
        <v>360000000</v>
      </c>
      <c r="Y182" s="340">
        <v>3000000</v>
      </c>
      <c r="Z182" s="340">
        <v>25000000</v>
      </c>
      <c r="AA182" s="341"/>
      <c r="AB182" s="372"/>
      <c r="AC182" s="372"/>
      <c r="AD182" s="341"/>
      <c r="AE182" s="382"/>
      <c r="AF182" s="341" t="s">
        <v>2224</v>
      </c>
      <c r="AG182" s="953"/>
      <c r="AH182" s="341">
        <v>14600000</v>
      </c>
      <c r="AI182" s="341">
        <v>53500000</v>
      </c>
      <c r="AJ182" s="341">
        <v>78500000</v>
      </c>
      <c r="AK182" s="373">
        <v>15000000</v>
      </c>
      <c r="AL182" s="961">
        <f t="shared" si="21"/>
        <v>93100000</v>
      </c>
      <c r="AM182" s="368" t="s">
        <v>1205</v>
      </c>
      <c r="AN182" s="371"/>
      <c r="AO182" s="341">
        <v>423293218</v>
      </c>
      <c r="AP182" s="342"/>
      <c r="AQ182" s="356"/>
      <c r="AR182" s="356"/>
      <c r="AS182" s="344"/>
      <c r="AT182" s="344"/>
    </row>
    <row r="183" spans="1:48">
      <c r="A183" s="217">
        <v>2021</v>
      </c>
      <c r="B183" s="338" t="s">
        <v>2284</v>
      </c>
      <c r="C183" s="336" t="s">
        <v>1350</v>
      </c>
      <c r="D183" s="336"/>
      <c r="E183" s="339"/>
      <c r="F183" s="336"/>
      <c r="G183" s="336"/>
      <c r="H183" s="336"/>
      <c r="I183" s="336"/>
      <c r="J183" s="336"/>
      <c r="K183" s="336" t="s">
        <v>1118</v>
      </c>
      <c r="L183" s="336">
        <v>25</v>
      </c>
      <c r="M183" s="367"/>
      <c r="N183" s="368"/>
      <c r="Q183" s="370"/>
      <c r="R183" s="370"/>
      <c r="S183" s="370"/>
      <c r="T183" s="370"/>
      <c r="U183" s="960">
        <v>35000000</v>
      </c>
      <c r="V183" s="953">
        <f>U183*11</f>
        <v>385000000</v>
      </c>
      <c r="W183" s="341">
        <v>16000000</v>
      </c>
      <c r="X183" s="341">
        <f>W183*20</f>
        <v>320000000</v>
      </c>
      <c r="Y183" s="340">
        <v>3000000</v>
      </c>
      <c r="Z183" s="340">
        <v>15000000</v>
      </c>
      <c r="AA183" s="341"/>
      <c r="AB183" s="372"/>
      <c r="AC183" s="372"/>
      <c r="AD183" s="341"/>
      <c r="AE183" s="382"/>
      <c r="AF183" s="341" t="s">
        <v>1212</v>
      </c>
      <c r="AG183" s="953">
        <v>500000</v>
      </c>
      <c r="AH183" s="341">
        <f>AG183*16</f>
        <v>8000000</v>
      </c>
      <c r="AI183" s="341">
        <v>50000000</v>
      </c>
      <c r="AJ183" s="341">
        <v>65000000</v>
      </c>
      <c r="AK183" s="373">
        <v>15000000</v>
      </c>
      <c r="AL183" s="961">
        <f t="shared" si="21"/>
        <v>73000000</v>
      </c>
      <c r="AM183" s="368" t="s">
        <v>1382</v>
      </c>
      <c r="AN183" s="371"/>
      <c r="AO183" s="341">
        <v>262625556</v>
      </c>
      <c r="AP183" s="342"/>
      <c r="AQ183" s="356"/>
      <c r="AR183" s="356"/>
      <c r="AS183" s="344"/>
      <c r="AT183" s="344"/>
    </row>
    <row r="184" spans="1:48">
      <c r="A184" s="213">
        <v>2021</v>
      </c>
      <c r="B184" s="339" t="s">
        <v>915</v>
      </c>
      <c r="C184" s="336" t="s">
        <v>497</v>
      </c>
      <c r="D184" s="377"/>
      <c r="E184" s="336"/>
      <c r="F184" s="336"/>
      <c r="G184" s="336"/>
      <c r="H184" s="337"/>
      <c r="I184" s="336"/>
      <c r="J184" s="336"/>
      <c r="K184" s="336" t="s">
        <v>1196</v>
      </c>
      <c r="L184" s="336">
        <v>32</v>
      </c>
      <c r="M184" s="336"/>
      <c r="N184" s="336"/>
      <c r="O184" s="338"/>
      <c r="P184" s="336"/>
      <c r="Q184" s="336"/>
      <c r="R184" s="339"/>
      <c r="S184" s="339"/>
      <c r="T184" s="339"/>
      <c r="U184" s="953">
        <v>27272727</v>
      </c>
      <c r="V184" s="953">
        <f>U184*11</f>
        <v>299999997</v>
      </c>
      <c r="W184" s="341">
        <v>25000000</v>
      </c>
      <c r="X184" s="341">
        <f>W184*20</f>
        <v>500000000</v>
      </c>
      <c r="Y184" s="340">
        <v>3000000</v>
      </c>
      <c r="Z184" s="340">
        <v>25000000</v>
      </c>
      <c r="AA184" s="341"/>
      <c r="AB184" s="341"/>
      <c r="AC184" s="341"/>
      <c r="AD184" s="341"/>
      <c r="AE184" s="341"/>
      <c r="AF184" s="341" t="s">
        <v>1197</v>
      </c>
      <c r="AG184" s="953">
        <v>1000000</v>
      </c>
      <c r="AH184" s="341">
        <f>AG184*25</f>
        <v>25000000</v>
      </c>
      <c r="AI184" s="341">
        <v>48100000</v>
      </c>
      <c r="AJ184" s="341">
        <v>73100000</v>
      </c>
      <c r="AK184" s="340">
        <v>15000000</v>
      </c>
      <c r="AL184" s="961">
        <f t="shared" si="21"/>
        <v>98100000</v>
      </c>
      <c r="AM184" s="341" t="s">
        <v>1262</v>
      </c>
      <c r="AN184" s="341"/>
      <c r="AO184" s="341">
        <v>433505181.050313</v>
      </c>
      <c r="AP184" s="342"/>
      <c r="AQ184" s="342"/>
      <c r="AR184" s="342"/>
      <c r="AS184" s="344"/>
      <c r="AT184" s="336"/>
    </row>
    <row r="185" spans="1:48">
      <c r="A185" s="213">
        <v>2021</v>
      </c>
      <c r="B185" s="339" t="s">
        <v>2286</v>
      </c>
      <c r="C185" s="338" t="s">
        <v>12</v>
      </c>
      <c r="D185" s="336" t="s">
        <v>1196</v>
      </c>
      <c r="E185" s="336">
        <v>32</v>
      </c>
      <c r="F185" s="340">
        <v>27272727</v>
      </c>
      <c r="G185" s="340">
        <v>299999997</v>
      </c>
      <c r="H185" s="341">
        <v>25000000</v>
      </c>
      <c r="I185" s="341">
        <v>500000000</v>
      </c>
      <c r="J185" s="340">
        <v>3000000</v>
      </c>
      <c r="K185" s="338" t="s">
        <v>1196</v>
      </c>
      <c r="L185" s="338">
        <v>52</v>
      </c>
      <c r="M185" s="341">
        <v>1000000</v>
      </c>
      <c r="N185" s="341">
        <v>25000000</v>
      </c>
      <c r="O185" s="341">
        <v>48100000</v>
      </c>
      <c r="P185" s="341">
        <v>73100000</v>
      </c>
      <c r="Q185" s="340">
        <v>15000000</v>
      </c>
      <c r="R185" s="341" t="s">
        <v>1262</v>
      </c>
      <c r="S185" s="341">
        <v>433505181.050313</v>
      </c>
      <c r="T185" s="339"/>
      <c r="U185" s="960">
        <v>22500000</v>
      </c>
      <c r="V185" s="960">
        <f>U185*20</f>
        <v>450000000</v>
      </c>
      <c r="W185" s="579">
        <v>22000000</v>
      </c>
      <c r="X185" s="579">
        <f>W185*20</f>
        <v>440000000</v>
      </c>
      <c r="Y185" s="351">
        <v>3000000</v>
      </c>
      <c r="Z185" s="351">
        <v>25000000</v>
      </c>
      <c r="AA185" s="341"/>
      <c r="AB185" s="341"/>
      <c r="AC185" s="341"/>
      <c r="AD185" s="341"/>
      <c r="AE185" s="341"/>
      <c r="AF185" s="341" t="s">
        <v>1274</v>
      </c>
      <c r="AG185" s="953"/>
      <c r="AH185" s="341">
        <v>19000000</v>
      </c>
      <c r="AI185" s="341">
        <f>AJ185-Z185</f>
        <v>48000000</v>
      </c>
      <c r="AJ185" s="341">
        <v>73000000</v>
      </c>
      <c r="AK185" s="340">
        <v>15000000</v>
      </c>
      <c r="AL185" s="961">
        <f t="shared" si="21"/>
        <v>92000000</v>
      </c>
      <c r="AM185" s="368" t="s">
        <v>1205</v>
      </c>
      <c r="AN185" s="341">
        <v>423293218</v>
      </c>
      <c r="AO185" s="341">
        <v>423293218</v>
      </c>
      <c r="AP185" s="342"/>
      <c r="AQ185" s="342"/>
      <c r="AR185" s="342"/>
      <c r="AS185" s="344"/>
      <c r="AT185" s="336"/>
    </row>
    <row r="186" spans="1:48">
      <c r="A186" s="217"/>
      <c r="B186" s="339" t="s">
        <v>2391</v>
      </c>
      <c r="C186" s="336" t="s">
        <v>21</v>
      </c>
      <c r="D186" s="336"/>
      <c r="E186" s="339"/>
      <c r="F186" s="336"/>
      <c r="G186" s="336"/>
      <c r="H186" s="336"/>
      <c r="I186" s="336"/>
      <c r="J186" s="336"/>
      <c r="K186" s="338" t="s">
        <v>1196</v>
      </c>
      <c r="L186" s="338">
        <v>42</v>
      </c>
      <c r="N186" s="368"/>
      <c r="P186" s="368"/>
      <c r="Q186" s="368"/>
      <c r="R186" s="334"/>
      <c r="S186" s="334"/>
      <c r="T186" s="334"/>
      <c r="U186" s="953">
        <v>23500000</v>
      </c>
      <c r="V186" s="953">
        <f>U186*20</f>
        <v>470000000</v>
      </c>
      <c r="W186" s="579">
        <v>20000000</v>
      </c>
      <c r="X186" s="579">
        <f>W186*10</f>
        <v>200000000</v>
      </c>
      <c r="Y186" s="351">
        <v>3000000</v>
      </c>
      <c r="Z186" s="351">
        <v>25000000</v>
      </c>
      <c r="AA186" s="341"/>
      <c r="AB186" s="368"/>
      <c r="AC186" s="368"/>
      <c r="AD186" s="341"/>
      <c r="AE186" s="341"/>
      <c r="AF186" s="341" t="s">
        <v>1276</v>
      </c>
      <c r="AG186" s="953">
        <v>1000000</v>
      </c>
      <c r="AH186" s="341">
        <f>AG186*20</f>
        <v>20000000</v>
      </c>
      <c r="AI186" s="341">
        <v>50000000</v>
      </c>
      <c r="AJ186" s="341">
        <v>75000000</v>
      </c>
      <c r="AK186" s="340">
        <v>15000000</v>
      </c>
      <c r="AL186" s="961"/>
      <c r="AM186" s="341" t="s">
        <v>1208</v>
      </c>
      <c r="AN186" s="374"/>
      <c r="AO186" s="341">
        <v>353505181</v>
      </c>
      <c r="AP186" s="356"/>
      <c r="AQ186" s="356"/>
      <c r="AR186" s="356"/>
      <c r="AS186" s="344"/>
      <c r="AT186" s="344"/>
    </row>
    <row r="187" spans="1:48">
      <c r="A187" s="217">
        <v>2021</v>
      </c>
      <c r="B187" s="339" t="s">
        <v>2276</v>
      </c>
      <c r="C187" s="338" t="s">
        <v>505</v>
      </c>
      <c r="D187" s="377"/>
      <c r="E187" s="336"/>
      <c r="F187" s="336"/>
      <c r="G187" s="336"/>
      <c r="H187" s="337"/>
      <c r="I187" s="336"/>
      <c r="J187" s="336"/>
      <c r="K187" s="338" t="s">
        <v>1118</v>
      </c>
      <c r="L187" s="338">
        <v>25</v>
      </c>
      <c r="M187" s="336"/>
      <c r="N187" s="336"/>
      <c r="O187" s="338"/>
      <c r="P187" s="336"/>
      <c r="Q187" s="336"/>
      <c r="R187" s="339"/>
      <c r="S187" s="339"/>
      <c r="T187" s="339"/>
      <c r="U187" s="953">
        <v>17000000</v>
      </c>
      <c r="V187" s="953">
        <f>U187*20</f>
        <v>340000000</v>
      </c>
      <c r="W187" s="579">
        <v>20000000</v>
      </c>
      <c r="X187" s="579">
        <f>W187*20</f>
        <v>400000000</v>
      </c>
      <c r="Y187" s="340" t="s">
        <v>1761</v>
      </c>
      <c r="Z187" s="340" t="s">
        <v>1761</v>
      </c>
      <c r="AA187" s="341"/>
      <c r="AB187" s="341"/>
      <c r="AC187" s="341"/>
      <c r="AD187" s="341"/>
      <c r="AE187" s="341"/>
      <c r="AF187" s="341" t="s">
        <v>1761</v>
      </c>
      <c r="AG187" s="953" t="s">
        <v>1761</v>
      </c>
      <c r="AH187" s="341" t="s">
        <v>1761</v>
      </c>
      <c r="AI187" s="341" t="s">
        <v>1761</v>
      </c>
      <c r="AJ187" s="341" t="s">
        <v>1761</v>
      </c>
      <c r="AK187" s="340" t="s">
        <v>1761</v>
      </c>
      <c r="AL187" s="961"/>
      <c r="AM187" s="368" t="s">
        <v>1382</v>
      </c>
      <c r="AN187" s="341"/>
      <c r="AO187" s="341">
        <v>262625556</v>
      </c>
      <c r="AP187" s="342"/>
      <c r="AQ187" s="356"/>
      <c r="AR187" s="342"/>
      <c r="AS187" s="344"/>
      <c r="AT187" s="344"/>
    </row>
    <row r="188" spans="1:48">
      <c r="A188" s="217">
        <v>2021</v>
      </c>
      <c r="B188" s="339" t="s">
        <v>895</v>
      </c>
      <c r="C188" s="338" t="s">
        <v>19</v>
      </c>
      <c r="D188" s="377"/>
      <c r="E188" s="336"/>
      <c r="F188" s="336"/>
      <c r="G188" s="336"/>
      <c r="H188" s="337"/>
      <c r="I188" s="336"/>
      <c r="J188" s="336"/>
      <c r="K188" s="338" t="s">
        <v>319</v>
      </c>
      <c r="L188" s="338">
        <v>42</v>
      </c>
      <c r="M188" s="336"/>
      <c r="N188" s="336"/>
      <c r="O188" s="338"/>
      <c r="P188" s="336"/>
      <c r="Q188" s="336"/>
      <c r="R188" s="339"/>
      <c r="S188" s="339"/>
      <c r="T188" s="339"/>
      <c r="U188" s="953">
        <v>19600000</v>
      </c>
      <c r="V188" s="953">
        <f>U188*20</f>
        <v>392000000</v>
      </c>
      <c r="W188" s="579">
        <v>20000000</v>
      </c>
      <c r="X188" s="579">
        <f>W188*20</f>
        <v>400000000</v>
      </c>
      <c r="Y188" s="351">
        <v>3000000</v>
      </c>
      <c r="Z188" s="351">
        <v>25000000</v>
      </c>
      <c r="AA188" s="341"/>
      <c r="AB188" s="341"/>
      <c r="AC188" s="341"/>
      <c r="AD188" s="341"/>
      <c r="AE188" s="341"/>
      <c r="AF188" s="341" t="s">
        <v>2439</v>
      </c>
      <c r="AG188" s="953" t="s">
        <v>2438</v>
      </c>
      <c r="AH188" s="341">
        <v>39000000</v>
      </c>
      <c r="AI188" s="341">
        <v>30000000</v>
      </c>
      <c r="AJ188" s="341">
        <v>55000000</v>
      </c>
      <c r="AK188" s="340">
        <v>15000000</v>
      </c>
      <c r="AL188" s="961">
        <f>AJ188+AH188</f>
        <v>94000000</v>
      </c>
      <c r="AM188" s="341" t="s">
        <v>1208</v>
      </c>
      <c r="AN188" s="374"/>
      <c r="AO188" s="341">
        <v>353505181</v>
      </c>
      <c r="AP188" s="342"/>
      <c r="AQ188" s="342"/>
      <c r="AR188" s="342"/>
      <c r="AS188" s="344"/>
      <c r="AT188" s="344"/>
    </row>
    <row r="189" spans="1:48">
      <c r="A189" s="217">
        <v>2021</v>
      </c>
      <c r="B189" s="339" t="s">
        <v>2408</v>
      </c>
      <c r="C189" s="338" t="s">
        <v>26</v>
      </c>
      <c r="D189" s="336"/>
      <c r="E189" s="339"/>
      <c r="F189" s="336"/>
      <c r="G189" s="336"/>
      <c r="H189" s="336"/>
      <c r="I189" s="336"/>
      <c r="J189" s="336"/>
      <c r="K189" s="336" t="s">
        <v>319</v>
      </c>
      <c r="L189" s="336">
        <v>52</v>
      </c>
      <c r="M189" s="367"/>
      <c r="N189" s="368"/>
      <c r="Q189" s="370"/>
      <c r="R189" s="370"/>
      <c r="S189" s="370"/>
      <c r="T189" s="370"/>
      <c r="U189" s="953">
        <v>20300000</v>
      </c>
      <c r="V189" s="953">
        <f>U189*20</f>
        <v>406000000</v>
      </c>
      <c r="W189" s="579">
        <v>19000000</v>
      </c>
      <c r="X189" s="579">
        <f>W189*20</f>
        <v>380000000</v>
      </c>
      <c r="Y189" s="351">
        <v>3000000</v>
      </c>
      <c r="Z189" s="351">
        <v>25000000</v>
      </c>
      <c r="AA189" s="341"/>
      <c r="AB189" s="341"/>
      <c r="AC189" s="341"/>
      <c r="AD189" s="341"/>
      <c r="AE189" s="341"/>
      <c r="AF189" s="341" t="s">
        <v>2457</v>
      </c>
      <c r="AG189" s="953"/>
      <c r="AH189" s="341">
        <v>24800000</v>
      </c>
      <c r="AI189" s="341">
        <f>AJ189-Z189</f>
        <v>45200000</v>
      </c>
      <c r="AJ189" s="341">
        <f>95000000-AH189</f>
        <v>70200000</v>
      </c>
      <c r="AK189" s="340">
        <v>15000000</v>
      </c>
      <c r="AL189" s="961">
        <f>AJ189+AH189</f>
        <v>95000000</v>
      </c>
      <c r="AM189" s="368" t="s">
        <v>1205</v>
      </c>
      <c r="AN189" s="374"/>
      <c r="AO189" s="341">
        <v>423293218</v>
      </c>
      <c r="AP189" s="356"/>
      <c r="AQ189" s="356"/>
      <c r="AR189" s="356"/>
      <c r="AS189" s="344"/>
      <c r="AT189" s="344"/>
    </row>
    <row r="190" spans="1:48">
      <c r="A190" s="213">
        <v>2021</v>
      </c>
      <c r="B190" s="339" t="s">
        <v>2394</v>
      </c>
      <c r="C190" s="338" t="s">
        <v>638</v>
      </c>
      <c r="D190" s="336"/>
      <c r="E190" s="336"/>
      <c r="F190" s="377"/>
      <c r="G190" s="377"/>
      <c r="H190" s="384"/>
      <c r="I190" s="377"/>
      <c r="J190" s="377"/>
      <c r="K190" s="338" t="s">
        <v>319</v>
      </c>
      <c r="L190" s="338">
        <v>42</v>
      </c>
      <c r="M190" s="336"/>
      <c r="N190" s="338"/>
      <c r="O190" s="338"/>
      <c r="P190" s="336"/>
      <c r="Q190" s="336"/>
      <c r="R190" s="339"/>
      <c r="S190" s="339"/>
      <c r="T190" s="339"/>
      <c r="U190" s="953">
        <v>25000000</v>
      </c>
      <c r="V190" s="953">
        <f>U190*11</f>
        <v>275000000</v>
      </c>
      <c r="W190" s="579">
        <v>17500000</v>
      </c>
      <c r="X190" s="579">
        <f>W190*20</f>
        <v>350000000</v>
      </c>
      <c r="Y190" s="340">
        <v>3000000</v>
      </c>
      <c r="Z190" s="340">
        <v>25000000</v>
      </c>
      <c r="AA190" s="341"/>
      <c r="AB190" s="341"/>
      <c r="AC190" s="341"/>
      <c r="AD190" s="341"/>
      <c r="AE190" s="382"/>
      <c r="AF190" s="341" t="s">
        <v>1217</v>
      </c>
      <c r="AG190" s="953">
        <v>1000000</v>
      </c>
      <c r="AH190" s="341">
        <f>AG190*22</f>
        <v>22000000</v>
      </c>
      <c r="AI190" s="341">
        <f>AJ190-Z190</f>
        <v>48000000</v>
      </c>
      <c r="AJ190" s="341">
        <f>AL190-AH190</f>
        <v>73000000</v>
      </c>
      <c r="AK190" s="340">
        <v>15000000</v>
      </c>
      <c r="AL190" s="961">
        <v>95000000</v>
      </c>
      <c r="AM190" s="341" t="s">
        <v>1024</v>
      </c>
      <c r="AN190" s="376"/>
      <c r="AO190" s="341">
        <v>433505181.050313</v>
      </c>
      <c r="AP190" s="342"/>
      <c r="AQ190" s="342"/>
      <c r="AR190" s="342"/>
      <c r="AS190" s="344"/>
      <c r="AT190" s="336"/>
      <c r="AU190" s="336"/>
      <c r="AV190" s="336"/>
    </row>
    <row r="191" spans="1:48">
      <c r="A191" s="217"/>
      <c r="B191" s="339" t="s">
        <v>2203</v>
      </c>
      <c r="C191" s="338" t="s">
        <v>21</v>
      </c>
      <c r="D191" s="336"/>
      <c r="E191" s="339"/>
      <c r="F191" s="336"/>
      <c r="G191" s="336"/>
      <c r="H191" s="336"/>
      <c r="I191" s="336"/>
      <c r="J191" s="336"/>
      <c r="K191" s="338" t="s">
        <v>319</v>
      </c>
      <c r="L191" s="338">
        <v>42</v>
      </c>
      <c r="M191" s="367"/>
      <c r="N191" s="368"/>
      <c r="Q191" s="370"/>
      <c r="R191" s="370"/>
      <c r="S191" s="370"/>
      <c r="T191" s="370"/>
      <c r="U191" s="960"/>
      <c r="V191" s="960"/>
      <c r="W191" s="580">
        <v>30000000</v>
      </c>
      <c r="X191" s="580">
        <f>W191*10</f>
        <v>300000000</v>
      </c>
      <c r="Y191" s="340">
        <v>3000000</v>
      </c>
      <c r="Z191" s="340">
        <v>25000000</v>
      </c>
      <c r="AA191" s="372"/>
      <c r="AB191" s="372"/>
      <c r="AC191" s="372"/>
      <c r="AD191" s="372"/>
      <c r="AE191" s="372"/>
      <c r="AF191" s="580" t="s">
        <v>1261</v>
      </c>
      <c r="AG191" s="955"/>
      <c r="AH191" s="372">
        <v>14500000</v>
      </c>
      <c r="AI191" s="341">
        <f>AJ191-Z191</f>
        <v>-39500000</v>
      </c>
      <c r="AJ191" s="341">
        <f>AL191-AH191</f>
        <v>-14500000</v>
      </c>
      <c r="AK191" s="340">
        <v>15000000</v>
      </c>
      <c r="AL191" s="963"/>
      <c r="AM191" s="341" t="s">
        <v>1208</v>
      </c>
      <c r="AN191" s="374"/>
      <c r="AO191" s="341">
        <v>353505181</v>
      </c>
      <c r="AP191" s="356"/>
      <c r="AQ191" s="356"/>
      <c r="AR191" s="356"/>
      <c r="AS191" s="344"/>
      <c r="AT191" s="344"/>
    </row>
    <row r="192" spans="1:48">
      <c r="A192" s="217">
        <v>2021</v>
      </c>
      <c r="B192" s="339" t="s">
        <v>2434</v>
      </c>
      <c r="C192" s="338" t="s">
        <v>1079</v>
      </c>
      <c r="D192" s="336"/>
      <c r="E192" s="336"/>
      <c r="F192" s="377"/>
      <c r="G192" s="377"/>
      <c r="H192" s="384"/>
      <c r="I192" s="377"/>
      <c r="J192" s="377"/>
      <c r="K192" s="338" t="s">
        <v>1118</v>
      </c>
      <c r="L192" s="338">
        <v>25</v>
      </c>
      <c r="M192" s="336"/>
      <c r="N192" s="338"/>
      <c r="O192" s="338"/>
      <c r="P192" s="336"/>
      <c r="Q192" s="336"/>
      <c r="R192" s="339"/>
      <c r="S192" s="339"/>
      <c r="T192" s="339"/>
      <c r="U192" s="953">
        <v>17000000</v>
      </c>
      <c r="V192" s="953">
        <f t="shared" ref="V192:V198" si="23">U192*20</f>
        <v>340000000</v>
      </c>
      <c r="W192" s="579">
        <v>18000000</v>
      </c>
      <c r="X192" s="579">
        <f>W192*20</f>
        <v>360000000</v>
      </c>
      <c r="Y192" s="340" t="s">
        <v>1761</v>
      </c>
      <c r="Z192" s="340" t="s">
        <v>1761</v>
      </c>
      <c r="AA192" s="341"/>
      <c r="AB192" s="341"/>
      <c r="AC192" s="341"/>
      <c r="AD192" s="341"/>
      <c r="AE192" s="382"/>
      <c r="AF192" s="341" t="s">
        <v>1761</v>
      </c>
      <c r="AG192" s="953" t="s">
        <v>1761</v>
      </c>
      <c r="AH192" s="341" t="s">
        <v>1761</v>
      </c>
      <c r="AI192" s="341" t="s">
        <v>1761</v>
      </c>
      <c r="AJ192" s="341" t="s">
        <v>1761</v>
      </c>
      <c r="AK192" s="340" t="s">
        <v>1761</v>
      </c>
      <c r="AL192" s="961"/>
      <c r="AM192" s="368" t="s">
        <v>1382</v>
      </c>
      <c r="AN192" s="341"/>
      <c r="AO192" s="341">
        <v>262625556</v>
      </c>
      <c r="AP192" s="356"/>
      <c r="AQ192" s="342"/>
      <c r="AR192" s="342"/>
      <c r="AS192" s="344"/>
      <c r="AT192" s="344"/>
    </row>
    <row r="193" spans="1:46">
      <c r="A193" s="217">
        <v>2021</v>
      </c>
      <c r="B193" s="339" t="s">
        <v>2509</v>
      </c>
      <c r="C193" s="338" t="s">
        <v>26</v>
      </c>
      <c r="D193" s="336"/>
      <c r="E193" s="339"/>
      <c r="F193" s="336"/>
      <c r="G193" s="336"/>
      <c r="H193" s="336"/>
      <c r="I193" s="336"/>
      <c r="J193" s="336"/>
      <c r="K193" s="338" t="s">
        <v>319</v>
      </c>
      <c r="L193" s="338">
        <v>42</v>
      </c>
      <c r="M193" s="367"/>
      <c r="N193" s="368"/>
      <c r="Q193" s="370"/>
      <c r="R193" s="370"/>
      <c r="S193" s="370"/>
      <c r="T193" s="370"/>
      <c r="U193" s="953">
        <v>20300000</v>
      </c>
      <c r="V193" s="953">
        <f t="shared" si="23"/>
        <v>406000000</v>
      </c>
      <c r="W193" s="580">
        <v>20000000</v>
      </c>
      <c r="X193" s="580">
        <f>W193*20</f>
        <v>400000000</v>
      </c>
      <c r="Y193" s="351">
        <v>3000000</v>
      </c>
      <c r="Z193" s="340">
        <v>25000000</v>
      </c>
      <c r="AA193" s="372"/>
      <c r="AB193" s="372"/>
      <c r="AC193" s="372"/>
      <c r="AD193" s="372"/>
      <c r="AE193" s="372"/>
      <c r="AF193" s="580" t="s">
        <v>1329</v>
      </c>
      <c r="AG193" s="955">
        <v>500000</v>
      </c>
      <c r="AH193" s="372">
        <f>AG193*40</f>
        <v>20000000</v>
      </c>
      <c r="AI193" s="372">
        <f t="shared" ref="AI193:AI199" si="24">AJ193-Z193</f>
        <v>44500000</v>
      </c>
      <c r="AJ193" s="372">
        <f t="shared" ref="AJ193:AJ199" si="25">AL193-AH193</f>
        <v>69500000</v>
      </c>
      <c r="AK193" s="340">
        <v>15000000</v>
      </c>
      <c r="AL193" s="963">
        <v>89500000</v>
      </c>
      <c r="AM193" s="341" t="s">
        <v>1208</v>
      </c>
      <c r="AN193" s="374"/>
      <c r="AO193" s="341">
        <v>353505181</v>
      </c>
      <c r="AP193" s="356"/>
      <c r="AQ193" s="356"/>
      <c r="AR193" s="356"/>
      <c r="AS193" s="344"/>
      <c r="AT193" s="344"/>
    </row>
    <row r="194" spans="1:46">
      <c r="A194" s="217">
        <v>2021</v>
      </c>
      <c r="B194" s="339" t="s">
        <v>2500</v>
      </c>
      <c r="C194" s="338" t="s">
        <v>19</v>
      </c>
      <c r="D194" s="336"/>
      <c r="E194" s="339"/>
      <c r="F194" s="336"/>
      <c r="G194" s="336"/>
      <c r="H194" s="336"/>
      <c r="I194" s="336"/>
      <c r="J194" s="336"/>
      <c r="K194" s="338" t="s">
        <v>319</v>
      </c>
      <c r="L194" s="338">
        <v>32</v>
      </c>
      <c r="M194" s="367"/>
      <c r="N194" s="368"/>
      <c r="Q194" s="370"/>
      <c r="R194" s="370"/>
      <c r="S194" s="370"/>
      <c r="T194" s="370"/>
      <c r="U194" s="953">
        <v>19600000</v>
      </c>
      <c r="V194" s="953">
        <f t="shared" si="23"/>
        <v>392000000</v>
      </c>
      <c r="W194" s="580">
        <v>20000000</v>
      </c>
      <c r="X194" s="580">
        <f>W194*20</f>
        <v>400000000</v>
      </c>
      <c r="Y194" s="351">
        <v>3000000</v>
      </c>
      <c r="Z194" s="340">
        <v>25000000</v>
      </c>
      <c r="AA194" s="372"/>
      <c r="AB194" s="372"/>
      <c r="AC194" s="372"/>
      <c r="AD194" s="372"/>
      <c r="AE194" s="372"/>
      <c r="AF194" s="580" t="s">
        <v>1316</v>
      </c>
      <c r="AG194" s="955">
        <v>300000</v>
      </c>
      <c r="AH194" s="372">
        <f>AG194*45</f>
        <v>13500000</v>
      </c>
      <c r="AI194" s="372">
        <f t="shared" si="24"/>
        <v>51500000</v>
      </c>
      <c r="AJ194" s="372">
        <f t="shared" si="25"/>
        <v>76500000</v>
      </c>
      <c r="AK194" s="340">
        <v>15000000</v>
      </c>
      <c r="AL194" s="963">
        <v>90000000</v>
      </c>
      <c r="AM194" s="368" t="s">
        <v>1215</v>
      </c>
      <c r="AN194" s="371"/>
      <c r="AO194" s="341">
        <v>336315892</v>
      </c>
      <c r="AP194" s="356"/>
      <c r="AQ194" s="356"/>
      <c r="AR194" s="356"/>
      <c r="AS194" s="344"/>
      <c r="AT194" s="344"/>
    </row>
    <row r="195" spans="1:46">
      <c r="A195" s="217">
        <v>2021</v>
      </c>
      <c r="B195" s="339" t="s">
        <v>2555</v>
      </c>
      <c r="C195" s="338" t="s">
        <v>763</v>
      </c>
      <c r="D195" s="336"/>
      <c r="E195" s="339"/>
      <c r="F195" s="336"/>
      <c r="G195" s="336"/>
      <c r="H195" s="336"/>
      <c r="I195" s="336"/>
      <c r="J195" s="336"/>
      <c r="K195" s="338" t="s">
        <v>319</v>
      </c>
      <c r="L195" s="338">
        <v>42</v>
      </c>
      <c r="M195" s="367"/>
      <c r="N195" s="368"/>
      <c r="Q195" s="370"/>
      <c r="R195" s="370"/>
      <c r="S195" s="370"/>
      <c r="T195" s="370"/>
      <c r="U195" s="960">
        <v>19000000</v>
      </c>
      <c r="V195" s="960">
        <f t="shared" si="23"/>
        <v>380000000</v>
      </c>
      <c r="W195" s="580">
        <v>19000000</v>
      </c>
      <c r="X195" s="580">
        <f>W195*20</f>
        <v>380000000</v>
      </c>
      <c r="Y195" s="351">
        <v>3000000</v>
      </c>
      <c r="Z195" s="340">
        <v>25000000</v>
      </c>
      <c r="AA195" s="372"/>
      <c r="AB195" s="372"/>
      <c r="AC195" s="372"/>
      <c r="AD195" s="372"/>
      <c r="AE195" s="372"/>
      <c r="AF195" s="580" t="s">
        <v>1197</v>
      </c>
      <c r="AG195" s="955" t="s">
        <v>2587</v>
      </c>
      <c r="AH195" s="372">
        <v>17500000</v>
      </c>
      <c r="AI195" s="372">
        <f t="shared" si="24"/>
        <v>50500000</v>
      </c>
      <c r="AJ195" s="372">
        <f t="shared" si="25"/>
        <v>75500000</v>
      </c>
      <c r="AK195" s="340">
        <v>15000000</v>
      </c>
      <c r="AL195" s="963">
        <v>93000000</v>
      </c>
      <c r="AM195" s="341" t="s">
        <v>1208</v>
      </c>
      <c r="AN195" s="371"/>
      <c r="AO195" s="341">
        <v>353505181</v>
      </c>
      <c r="AP195" s="356"/>
      <c r="AQ195" s="356"/>
      <c r="AR195" s="356"/>
      <c r="AS195" s="344"/>
      <c r="AT195" s="344"/>
    </row>
    <row r="196" spans="1:46">
      <c r="A196" s="217"/>
      <c r="B196" s="339" t="s">
        <v>2199</v>
      </c>
      <c r="C196" s="338" t="s">
        <v>19</v>
      </c>
      <c r="D196" s="336"/>
      <c r="E196" s="339"/>
      <c r="F196" s="336"/>
      <c r="G196" s="336"/>
      <c r="H196" s="336"/>
      <c r="I196" s="336"/>
      <c r="J196" s="336"/>
      <c r="K196" s="336" t="s">
        <v>319</v>
      </c>
      <c r="L196" s="336">
        <v>52</v>
      </c>
      <c r="M196" s="367"/>
      <c r="N196" s="368"/>
      <c r="Q196" s="370"/>
      <c r="R196" s="370"/>
      <c r="S196" s="370"/>
      <c r="T196" s="370"/>
      <c r="U196" s="953">
        <v>19600000</v>
      </c>
      <c r="V196" s="953">
        <f t="shared" si="23"/>
        <v>392000000</v>
      </c>
      <c r="W196" s="580">
        <v>20000000</v>
      </c>
      <c r="X196" s="580">
        <f>W196*20</f>
        <v>400000000</v>
      </c>
      <c r="Y196" s="351">
        <v>3000000</v>
      </c>
      <c r="Z196" s="340">
        <v>25000000</v>
      </c>
      <c r="AA196" s="372"/>
      <c r="AB196" s="374"/>
      <c r="AC196" s="374"/>
      <c r="AD196" s="372"/>
      <c r="AE196" s="372"/>
      <c r="AF196" s="369" t="s">
        <v>2642</v>
      </c>
      <c r="AG196" s="955" t="s">
        <v>2643</v>
      </c>
      <c r="AH196" s="372">
        <v>41000000</v>
      </c>
      <c r="AI196" s="372">
        <f t="shared" si="24"/>
        <v>50000000</v>
      </c>
      <c r="AJ196" s="372">
        <f t="shared" si="25"/>
        <v>75000000</v>
      </c>
      <c r="AK196" s="340">
        <v>15000000</v>
      </c>
      <c r="AL196" s="963">
        <v>116000000</v>
      </c>
      <c r="AM196" s="368" t="s">
        <v>1205</v>
      </c>
      <c r="AN196" s="371"/>
      <c r="AO196" s="341">
        <v>423293218</v>
      </c>
      <c r="AP196" s="356"/>
      <c r="AQ196" s="356"/>
      <c r="AR196" s="356"/>
      <c r="AS196" s="344"/>
      <c r="AT196" s="344"/>
    </row>
    <row r="197" spans="1:46">
      <c r="A197" s="217">
        <v>2021</v>
      </c>
      <c r="B197" s="339" t="s">
        <v>2388</v>
      </c>
      <c r="C197" s="338" t="s">
        <v>638</v>
      </c>
      <c r="D197" s="336"/>
      <c r="E197" s="339"/>
      <c r="F197" s="336"/>
      <c r="G197" s="336"/>
      <c r="H197" s="336"/>
      <c r="I197" s="336"/>
      <c r="J197" s="336"/>
      <c r="K197" s="338" t="s">
        <v>319</v>
      </c>
      <c r="L197" s="338">
        <v>32</v>
      </c>
      <c r="M197" s="367"/>
      <c r="N197" s="368"/>
      <c r="Q197" s="370"/>
      <c r="R197" s="370"/>
      <c r="S197" s="370"/>
      <c r="T197" s="370"/>
      <c r="U197" s="960">
        <v>15000000</v>
      </c>
      <c r="V197" s="960">
        <f t="shared" si="23"/>
        <v>300000000</v>
      </c>
      <c r="W197" s="580">
        <v>25000000</v>
      </c>
      <c r="X197" s="580">
        <f>W197*10</f>
        <v>250000000</v>
      </c>
      <c r="Y197" s="351">
        <v>3000000</v>
      </c>
      <c r="Z197" s="340">
        <v>25000000</v>
      </c>
      <c r="AA197" s="372"/>
      <c r="AB197" s="374"/>
      <c r="AC197" s="374"/>
      <c r="AD197" s="372"/>
      <c r="AE197" s="372"/>
      <c r="AF197" s="369" t="s">
        <v>1204</v>
      </c>
      <c r="AG197" s="955">
        <v>500000</v>
      </c>
      <c r="AH197" s="372">
        <v>7500000</v>
      </c>
      <c r="AI197" s="372">
        <f t="shared" si="24"/>
        <v>51000000</v>
      </c>
      <c r="AJ197" s="372">
        <f t="shared" si="25"/>
        <v>76000000</v>
      </c>
      <c r="AK197" s="340">
        <v>15000000</v>
      </c>
      <c r="AL197" s="963">
        <v>83500000</v>
      </c>
      <c r="AM197" s="368" t="s">
        <v>1215</v>
      </c>
      <c r="AN197" s="371"/>
      <c r="AO197" s="341">
        <v>336315892</v>
      </c>
      <c r="AP197" s="356"/>
      <c r="AQ197" s="356"/>
      <c r="AR197" s="356"/>
      <c r="AS197" s="344"/>
      <c r="AT197" s="344"/>
    </row>
    <row r="198" spans="1:46">
      <c r="A198" s="217">
        <v>2021</v>
      </c>
      <c r="B198" s="339" t="s">
        <v>2764</v>
      </c>
      <c r="C198" s="338" t="s">
        <v>6</v>
      </c>
      <c r="D198" s="336"/>
      <c r="E198" s="339"/>
      <c r="F198" s="336"/>
      <c r="G198" s="336"/>
      <c r="H198" s="336"/>
      <c r="I198" s="336"/>
      <c r="J198" s="336"/>
      <c r="K198" s="338" t="s">
        <v>1405</v>
      </c>
      <c r="L198" s="338">
        <v>9</v>
      </c>
      <c r="M198" s="367"/>
      <c r="N198" s="368"/>
      <c r="Q198" s="370"/>
      <c r="R198" s="370"/>
      <c r="S198" s="370"/>
      <c r="T198" s="370"/>
      <c r="U198" s="960">
        <v>27000000</v>
      </c>
      <c r="V198" s="960">
        <f t="shared" si="23"/>
        <v>540000000</v>
      </c>
      <c r="W198" s="580">
        <v>35000000</v>
      </c>
      <c r="X198" s="580">
        <f>W198*10</f>
        <v>350000000</v>
      </c>
      <c r="Y198" s="351">
        <v>3000000</v>
      </c>
      <c r="Z198" s="340">
        <v>25000000</v>
      </c>
      <c r="AA198" s="372"/>
      <c r="AB198" s="374"/>
      <c r="AC198" s="374"/>
      <c r="AD198" s="372"/>
      <c r="AE198" s="372"/>
      <c r="AF198" s="369" t="s">
        <v>1334</v>
      </c>
      <c r="AG198" s="955">
        <v>1000000</v>
      </c>
      <c r="AH198" s="372">
        <v>1000000</v>
      </c>
      <c r="AI198" s="372">
        <f t="shared" si="24"/>
        <v>72000000</v>
      </c>
      <c r="AJ198" s="372">
        <f t="shared" si="25"/>
        <v>97000000</v>
      </c>
      <c r="AK198" s="340">
        <v>15000000</v>
      </c>
      <c r="AL198" s="963">
        <v>98000000</v>
      </c>
      <c r="AM198" s="368" t="s">
        <v>2645</v>
      </c>
      <c r="AN198" s="371"/>
      <c r="AO198" s="375">
        <v>141516308</v>
      </c>
      <c r="AP198" s="356"/>
      <c r="AQ198" s="356"/>
      <c r="AR198" s="356"/>
      <c r="AS198" s="344"/>
      <c r="AT198" s="344"/>
    </row>
    <row r="199" spans="1:46">
      <c r="A199" s="217">
        <v>2021</v>
      </c>
      <c r="B199" s="339" t="s">
        <v>2510</v>
      </c>
      <c r="C199" s="338" t="s">
        <v>12</v>
      </c>
      <c r="D199" s="336"/>
      <c r="E199" s="336"/>
      <c r="F199" s="336"/>
      <c r="G199" s="336"/>
      <c r="H199" s="337"/>
      <c r="I199" s="336"/>
      <c r="J199" s="336"/>
      <c r="K199" s="338" t="s">
        <v>1196</v>
      </c>
      <c r="L199" s="338">
        <v>72</v>
      </c>
      <c r="M199" s="336"/>
      <c r="N199" s="338"/>
      <c r="O199" s="338"/>
      <c r="P199" s="336"/>
      <c r="Q199" s="336"/>
      <c r="R199" s="339"/>
      <c r="S199" s="339"/>
      <c r="T199" s="339"/>
      <c r="U199" s="960">
        <v>22500000</v>
      </c>
      <c r="V199" s="960">
        <f>U199*20</f>
        <v>450000000</v>
      </c>
      <c r="W199" s="579">
        <v>18000000</v>
      </c>
      <c r="X199" s="579">
        <f>W199*20</f>
        <v>360000000</v>
      </c>
      <c r="Y199" s="351">
        <v>3000000</v>
      </c>
      <c r="Z199" s="340">
        <v>25000000</v>
      </c>
      <c r="AA199" s="341"/>
      <c r="AB199" s="382"/>
      <c r="AC199" s="382"/>
      <c r="AD199" s="382"/>
      <c r="AE199" s="382"/>
      <c r="AF199" s="579" t="s">
        <v>1286</v>
      </c>
      <c r="AG199" s="955" t="s">
        <v>2643</v>
      </c>
      <c r="AH199" s="382">
        <v>14500000</v>
      </c>
      <c r="AI199" s="382">
        <f t="shared" si="24"/>
        <v>51500000</v>
      </c>
      <c r="AJ199" s="385">
        <f t="shared" si="25"/>
        <v>76500000</v>
      </c>
      <c r="AK199" s="340">
        <v>15000000</v>
      </c>
      <c r="AL199" s="963">
        <v>91000000</v>
      </c>
      <c r="AM199" s="376" t="s">
        <v>1331</v>
      </c>
      <c r="AN199" s="371"/>
      <c r="AO199" s="375">
        <v>577778043</v>
      </c>
      <c r="AP199" s="356"/>
      <c r="AQ199" s="356"/>
      <c r="AR199" s="342"/>
      <c r="AS199" s="344"/>
      <c r="AT199" s="336"/>
    </row>
    <row r="200" spans="1:46">
      <c r="A200" s="217">
        <v>2021</v>
      </c>
      <c r="B200" s="339" t="s">
        <v>2570</v>
      </c>
      <c r="C200" s="338" t="s">
        <v>6</v>
      </c>
      <c r="D200" s="336"/>
      <c r="E200" s="336"/>
      <c r="F200" s="336"/>
      <c r="G200" s="336"/>
      <c r="H200" s="337"/>
      <c r="I200" s="336"/>
      <c r="J200" s="336"/>
      <c r="K200" s="338" t="s">
        <v>1118</v>
      </c>
      <c r="L200" s="338">
        <v>25</v>
      </c>
      <c r="M200" s="336"/>
      <c r="N200" s="338"/>
      <c r="O200" s="338"/>
      <c r="P200" s="336"/>
      <c r="Q200" s="336"/>
      <c r="R200" s="339"/>
      <c r="S200" s="339"/>
      <c r="T200" s="339"/>
      <c r="U200" s="953">
        <v>18750000</v>
      </c>
      <c r="V200" s="953">
        <f>U200*11</f>
        <v>206250000</v>
      </c>
      <c r="W200" s="579"/>
      <c r="X200" s="579"/>
      <c r="Y200" s="351">
        <v>3000000</v>
      </c>
      <c r="Z200" s="351">
        <v>15000000</v>
      </c>
      <c r="AA200" s="372"/>
      <c r="AB200" s="382"/>
      <c r="AC200" s="382"/>
      <c r="AD200" s="382"/>
      <c r="AE200" s="382"/>
      <c r="AF200" s="579" t="s">
        <v>1409</v>
      </c>
      <c r="AG200" s="956">
        <v>2500000</v>
      </c>
      <c r="AH200" s="382">
        <f>AG200*6</f>
        <v>15000000</v>
      </c>
      <c r="AI200" s="382">
        <f>AJ200-Z200</f>
        <v>55000000</v>
      </c>
      <c r="AJ200" s="385">
        <f>AL200-AH200</f>
        <v>70000000</v>
      </c>
      <c r="AK200" s="340">
        <v>15000000</v>
      </c>
      <c r="AL200" s="963">
        <v>85000000</v>
      </c>
      <c r="AM200" s="376" t="s">
        <v>1382</v>
      </c>
      <c r="AN200" s="371"/>
      <c r="AO200" s="341">
        <v>262625556</v>
      </c>
      <c r="AP200" s="356"/>
      <c r="AQ200" s="356"/>
      <c r="AR200" s="342"/>
      <c r="AS200" s="344"/>
      <c r="AT200" s="336"/>
    </row>
    <row r="201" spans="1:46">
      <c r="A201" s="217">
        <v>2021</v>
      </c>
      <c r="B201" s="339" t="s">
        <v>2282</v>
      </c>
      <c r="C201" s="338" t="s">
        <v>19</v>
      </c>
      <c r="D201" s="336"/>
      <c r="E201" s="336"/>
      <c r="F201" s="336"/>
      <c r="G201" s="336"/>
      <c r="H201" s="337"/>
      <c r="I201" s="336"/>
      <c r="J201" s="336"/>
      <c r="K201" s="338" t="s">
        <v>2667</v>
      </c>
      <c r="L201" s="338">
        <v>25</v>
      </c>
      <c r="M201" s="336"/>
      <c r="N201" s="338"/>
      <c r="O201" s="338"/>
      <c r="P201" s="336"/>
      <c r="Q201" s="336"/>
      <c r="R201" s="339"/>
      <c r="S201" s="339"/>
      <c r="T201" s="339"/>
      <c r="U201" s="953">
        <v>19600000</v>
      </c>
      <c r="V201" s="953">
        <f>U201*20</f>
        <v>392000000</v>
      </c>
      <c r="W201" s="579">
        <v>20000000</v>
      </c>
      <c r="X201" s="579">
        <f>W201*20</f>
        <v>400000000</v>
      </c>
      <c r="Y201" s="351">
        <v>3000000</v>
      </c>
      <c r="Z201" s="340">
        <v>25000000</v>
      </c>
      <c r="AA201" s="372"/>
      <c r="AB201" s="382"/>
      <c r="AC201" s="382"/>
      <c r="AD201" s="382"/>
      <c r="AE201" s="382"/>
      <c r="AF201" s="579" t="s">
        <v>1363</v>
      </c>
      <c r="AG201" s="956">
        <v>500000</v>
      </c>
      <c r="AH201" s="382">
        <f>AG201*7</f>
        <v>3500000</v>
      </c>
      <c r="AI201" s="382">
        <f>AJ201-Z201</f>
        <v>81500000</v>
      </c>
      <c r="AJ201" s="385">
        <f>AL201-AH201</f>
        <v>106500000</v>
      </c>
      <c r="AK201" s="340">
        <v>15000000</v>
      </c>
      <c r="AL201" s="963">
        <v>110000000</v>
      </c>
      <c r="AM201" s="376" t="s">
        <v>2668</v>
      </c>
      <c r="AN201" s="371"/>
      <c r="AO201" s="341">
        <v>259307105</v>
      </c>
      <c r="AP201" s="356"/>
      <c r="AQ201" s="356"/>
      <c r="AR201" s="342"/>
      <c r="AS201" s="344"/>
      <c r="AT201" s="336"/>
    </row>
    <row r="202" spans="1:46">
      <c r="A202" s="217">
        <v>2021</v>
      </c>
      <c r="B202" s="339" t="s">
        <v>2677</v>
      </c>
      <c r="C202" s="338" t="s">
        <v>2212</v>
      </c>
      <c r="D202" s="336"/>
      <c r="E202" s="336"/>
      <c r="F202" s="336"/>
      <c r="G202" s="336"/>
      <c r="H202" s="337"/>
      <c r="I202" s="336"/>
      <c r="J202" s="336"/>
      <c r="K202" s="338" t="s">
        <v>319</v>
      </c>
      <c r="L202" s="338">
        <v>62</v>
      </c>
      <c r="M202" s="336"/>
      <c r="N202" s="338"/>
      <c r="O202" s="338"/>
      <c r="P202" s="336"/>
      <c r="Q202" s="336"/>
      <c r="R202" s="339"/>
      <c r="S202" s="339"/>
      <c r="T202" s="339"/>
      <c r="U202" s="953">
        <v>21179826</v>
      </c>
      <c r="V202" s="953">
        <f>U202*20</f>
        <v>423596520</v>
      </c>
      <c r="W202" s="579">
        <v>18000000</v>
      </c>
      <c r="X202" s="579">
        <v>360000000</v>
      </c>
      <c r="Y202" s="351">
        <v>3000000</v>
      </c>
      <c r="Z202" s="340">
        <v>25000000</v>
      </c>
      <c r="AA202" s="341"/>
      <c r="AB202" s="382"/>
      <c r="AC202" s="382"/>
      <c r="AD202" s="382"/>
      <c r="AE202" s="382"/>
      <c r="AF202" s="579" t="s">
        <v>1247</v>
      </c>
      <c r="AG202" s="956">
        <v>1000000</v>
      </c>
      <c r="AH202" s="382">
        <v>5000000</v>
      </c>
      <c r="AI202" s="382">
        <f t="shared" ref="AI202:AI208" si="26">AJ202-Z202</f>
        <v>60500000</v>
      </c>
      <c r="AJ202" s="385">
        <f t="shared" ref="AJ202:AJ208" si="27">AL202-AH202</f>
        <v>85500000</v>
      </c>
      <c r="AK202" s="340">
        <v>15000000</v>
      </c>
      <c r="AL202" s="963">
        <v>90500000</v>
      </c>
      <c r="AM202" s="376" t="s">
        <v>2192</v>
      </c>
      <c r="AN202" s="371"/>
      <c r="AO202" s="341">
        <v>527299431</v>
      </c>
      <c r="AP202" s="356"/>
      <c r="AQ202" s="356"/>
      <c r="AR202" s="342"/>
      <c r="AS202" s="344"/>
      <c r="AT202" s="336"/>
    </row>
    <row r="203" spans="1:46">
      <c r="A203" s="217">
        <v>2021</v>
      </c>
      <c r="B203" s="339" t="s">
        <v>2674</v>
      </c>
      <c r="C203" s="338" t="s">
        <v>2675</v>
      </c>
      <c r="D203" s="336"/>
      <c r="E203" s="336"/>
      <c r="F203" s="336"/>
      <c r="G203" s="336"/>
      <c r="H203" s="337"/>
      <c r="I203" s="336"/>
      <c r="J203" s="336"/>
      <c r="K203" s="338" t="s">
        <v>319</v>
      </c>
      <c r="L203" s="338">
        <v>52</v>
      </c>
      <c r="M203" s="336"/>
      <c r="N203" s="338"/>
      <c r="O203" s="338"/>
      <c r="P203" s="336"/>
      <c r="Q203" s="336"/>
      <c r="R203" s="339"/>
      <c r="S203" s="339"/>
      <c r="T203" s="339"/>
      <c r="U203" s="960">
        <v>21179826</v>
      </c>
      <c r="V203" s="960">
        <f>U203*20</f>
        <v>423596520</v>
      </c>
      <c r="W203" s="579">
        <v>18000000</v>
      </c>
      <c r="X203" s="579">
        <v>360000000</v>
      </c>
      <c r="Y203" s="351">
        <v>3000000</v>
      </c>
      <c r="Z203" s="340">
        <v>25000000</v>
      </c>
      <c r="AA203" s="341"/>
      <c r="AB203" s="382"/>
      <c r="AC203" s="382"/>
      <c r="AD203" s="382"/>
      <c r="AE203" s="382"/>
      <c r="AF203" s="579" t="s">
        <v>1409</v>
      </c>
      <c r="AG203" s="956">
        <v>1000000</v>
      </c>
      <c r="AH203" s="382">
        <v>6000000</v>
      </c>
      <c r="AI203" s="382">
        <f t="shared" si="26"/>
        <v>63000000</v>
      </c>
      <c r="AJ203" s="385">
        <f t="shared" si="27"/>
        <v>88000000</v>
      </c>
      <c r="AK203" s="340">
        <v>15000000</v>
      </c>
      <c r="AL203" s="963">
        <v>94000000</v>
      </c>
      <c r="AM203" s="368" t="s">
        <v>1205</v>
      </c>
      <c r="AN203" s="371"/>
      <c r="AO203" s="341">
        <v>423293218</v>
      </c>
      <c r="AP203" s="356"/>
      <c r="AQ203" s="356"/>
      <c r="AR203" s="342"/>
      <c r="AS203" s="344"/>
      <c r="AT203" s="336"/>
    </row>
    <row r="204" spans="1:46">
      <c r="A204" s="217">
        <v>2021</v>
      </c>
      <c r="B204" s="339" t="s">
        <v>2692</v>
      </c>
      <c r="C204" s="338" t="s">
        <v>26</v>
      </c>
      <c r="D204" s="336"/>
      <c r="E204" s="336"/>
      <c r="F204" s="336"/>
      <c r="G204" s="336"/>
      <c r="H204" s="337"/>
      <c r="I204" s="336"/>
      <c r="J204" s="336"/>
      <c r="K204" s="338" t="s">
        <v>319</v>
      </c>
      <c r="L204" s="338">
        <v>42</v>
      </c>
      <c r="M204" s="336"/>
      <c r="N204" s="338"/>
      <c r="O204" s="338"/>
      <c r="P204" s="336"/>
      <c r="Q204" s="336"/>
      <c r="R204" s="339"/>
      <c r="S204" s="339"/>
      <c r="T204" s="339"/>
      <c r="U204" s="953">
        <v>20300000</v>
      </c>
      <c r="V204" s="953">
        <f t="shared" ref="V204:V209" si="28">U204*20</f>
        <v>406000000</v>
      </c>
      <c r="W204" s="579">
        <v>18000000</v>
      </c>
      <c r="X204" s="579">
        <v>360000000</v>
      </c>
      <c r="Y204" s="351">
        <v>3000000</v>
      </c>
      <c r="Z204" s="340">
        <v>25000000</v>
      </c>
      <c r="AA204" s="372"/>
      <c r="AB204" s="382"/>
      <c r="AC204" s="382"/>
      <c r="AD204" s="382"/>
      <c r="AE204" s="382"/>
      <c r="AF204" s="579" t="s">
        <v>2705</v>
      </c>
      <c r="AG204" s="956">
        <v>500000</v>
      </c>
      <c r="AH204" s="382">
        <v>16500000</v>
      </c>
      <c r="AI204" s="382">
        <f t="shared" si="26"/>
        <v>48000000</v>
      </c>
      <c r="AJ204" s="385">
        <f t="shared" si="27"/>
        <v>73000000</v>
      </c>
      <c r="AK204" s="340">
        <v>15000000</v>
      </c>
      <c r="AL204" s="963">
        <v>89500000</v>
      </c>
      <c r="AM204" s="341" t="s">
        <v>1208</v>
      </c>
      <c r="AN204" s="371"/>
      <c r="AO204" s="341">
        <v>353505181</v>
      </c>
      <c r="AP204" s="356"/>
      <c r="AQ204" s="356"/>
      <c r="AR204" s="342"/>
      <c r="AS204" s="344"/>
      <c r="AT204" s="336"/>
    </row>
    <row r="205" spans="1:46">
      <c r="A205" s="217">
        <v>2021</v>
      </c>
      <c r="B205" s="339" t="s">
        <v>2688</v>
      </c>
      <c r="C205" s="338" t="s">
        <v>763</v>
      </c>
      <c r="D205" s="336"/>
      <c r="E205" s="336"/>
      <c r="F205" s="336"/>
      <c r="G205" s="336"/>
      <c r="H205" s="337"/>
      <c r="I205" s="336"/>
      <c r="J205" s="336"/>
      <c r="K205" s="338" t="s">
        <v>319</v>
      </c>
      <c r="L205" s="338">
        <v>52</v>
      </c>
      <c r="M205" s="336"/>
      <c r="N205" s="338"/>
      <c r="O205" s="338"/>
      <c r="P205" s="336"/>
      <c r="Q205" s="336"/>
      <c r="R205" s="339"/>
      <c r="S205" s="339"/>
      <c r="T205" s="339"/>
      <c r="U205" s="960">
        <v>19000000</v>
      </c>
      <c r="V205" s="960">
        <f t="shared" si="28"/>
        <v>380000000</v>
      </c>
      <c r="W205" s="579">
        <v>18000000</v>
      </c>
      <c r="X205" s="579">
        <v>360000000</v>
      </c>
      <c r="Y205" s="351">
        <v>3000000</v>
      </c>
      <c r="Z205" s="340">
        <v>25000000</v>
      </c>
      <c r="AA205" s="372"/>
      <c r="AB205" s="382"/>
      <c r="AC205" s="382"/>
      <c r="AD205" s="382"/>
      <c r="AE205" s="382"/>
      <c r="AF205" s="579" t="s">
        <v>1276</v>
      </c>
      <c r="AG205" s="956" t="s">
        <v>2587</v>
      </c>
      <c r="AH205" s="382">
        <v>15000000</v>
      </c>
      <c r="AI205" s="382">
        <f t="shared" si="26"/>
        <v>54000000</v>
      </c>
      <c r="AJ205" s="385">
        <f t="shared" si="27"/>
        <v>79000000</v>
      </c>
      <c r="AK205" s="340">
        <v>15000000</v>
      </c>
      <c r="AL205" s="963">
        <v>94000000</v>
      </c>
      <c r="AM205" s="368" t="s">
        <v>1205</v>
      </c>
      <c r="AN205" s="371"/>
      <c r="AO205" s="341">
        <v>423293218</v>
      </c>
      <c r="AP205" s="356"/>
      <c r="AQ205" s="356"/>
      <c r="AR205" s="342"/>
      <c r="AS205" s="344"/>
      <c r="AT205" s="336"/>
    </row>
    <row r="206" spans="1:46">
      <c r="A206" s="217">
        <v>2021</v>
      </c>
      <c r="B206" s="339" t="s">
        <v>2679</v>
      </c>
      <c r="C206" s="338" t="s">
        <v>19</v>
      </c>
      <c r="D206" s="336"/>
      <c r="E206" s="339"/>
      <c r="F206" s="336"/>
      <c r="G206" s="336"/>
      <c r="H206" s="336"/>
      <c r="I206" s="336"/>
      <c r="J206" s="336"/>
      <c r="K206" s="338" t="s">
        <v>319</v>
      </c>
      <c r="L206" s="338">
        <v>42</v>
      </c>
      <c r="N206" s="368"/>
      <c r="P206" s="368"/>
      <c r="Q206" s="368"/>
      <c r="R206" s="334"/>
      <c r="S206" s="334"/>
      <c r="T206" s="334"/>
      <c r="U206" s="953">
        <v>19600000</v>
      </c>
      <c r="V206" s="953">
        <f t="shared" si="28"/>
        <v>392000000</v>
      </c>
      <c r="W206" s="580">
        <v>20000000</v>
      </c>
      <c r="X206" s="581">
        <f t="shared" ref="X206:X212" si="29">W206*20</f>
        <v>400000000</v>
      </c>
      <c r="Y206" s="351">
        <v>3000000</v>
      </c>
      <c r="Z206" s="340">
        <v>25000000</v>
      </c>
      <c r="AA206" s="372"/>
      <c r="AB206" s="368"/>
      <c r="AC206" s="368"/>
      <c r="AD206" s="375"/>
      <c r="AE206" s="372"/>
      <c r="AF206" s="369" t="s">
        <v>1261</v>
      </c>
      <c r="AG206" s="956" t="s">
        <v>2643</v>
      </c>
      <c r="AH206" s="375">
        <v>14000000</v>
      </c>
      <c r="AI206" s="375">
        <f t="shared" si="26"/>
        <v>41000000</v>
      </c>
      <c r="AJ206" s="375">
        <f t="shared" si="27"/>
        <v>66000000</v>
      </c>
      <c r="AK206" s="340">
        <v>15000000</v>
      </c>
      <c r="AL206" s="961">
        <v>80000000</v>
      </c>
      <c r="AM206" s="341" t="s">
        <v>1208</v>
      </c>
      <c r="AN206" s="371"/>
      <c r="AO206" s="341">
        <v>353505181</v>
      </c>
      <c r="AP206" s="356"/>
      <c r="AQ206" s="356"/>
      <c r="AR206" s="356"/>
      <c r="AS206" s="344"/>
      <c r="AT206" s="344"/>
    </row>
    <row r="207" spans="1:46">
      <c r="A207" s="217">
        <v>2021</v>
      </c>
      <c r="B207" s="339" t="s">
        <v>2661</v>
      </c>
      <c r="C207" s="338" t="s">
        <v>659</v>
      </c>
      <c r="D207" s="336"/>
      <c r="E207" s="339"/>
      <c r="F207" s="336"/>
      <c r="G207" s="336"/>
      <c r="H207" s="336"/>
      <c r="I207" s="336"/>
      <c r="J207" s="336"/>
      <c r="K207" s="338" t="s">
        <v>319</v>
      </c>
      <c r="L207" s="338">
        <v>42</v>
      </c>
      <c r="M207" s="367"/>
      <c r="N207" s="368"/>
      <c r="Q207" s="370"/>
      <c r="R207" s="370"/>
      <c r="S207" s="370"/>
      <c r="T207" s="370"/>
      <c r="U207" s="960">
        <v>22000000</v>
      </c>
      <c r="V207" s="960">
        <f t="shared" si="28"/>
        <v>440000000</v>
      </c>
      <c r="W207" s="580">
        <v>25000000</v>
      </c>
      <c r="X207" s="581">
        <f t="shared" si="29"/>
        <v>500000000</v>
      </c>
      <c r="Y207" s="351">
        <v>3000000</v>
      </c>
      <c r="Z207" s="340">
        <v>25000000</v>
      </c>
      <c r="AA207" s="372"/>
      <c r="AB207" s="374"/>
      <c r="AC207" s="374"/>
      <c r="AD207" s="375"/>
      <c r="AE207" s="372"/>
      <c r="AF207" s="369" t="s">
        <v>1234</v>
      </c>
      <c r="AG207" s="953" t="s">
        <v>2643</v>
      </c>
      <c r="AH207" s="375">
        <v>45000000</v>
      </c>
      <c r="AI207" s="375">
        <f t="shared" si="26"/>
        <v>29500000</v>
      </c>
      <c r="AJ207" s="372">
        <f t="shared" si="27"/>
        <v>54500000</v>
      </c>
      <c r="AK207" s="340">
        <v>15000000</v>
      </c>
      <c r="AL207" s="961">
        <v>99500000</v>
      </c>
      <c r="AM207" s="341" t="s">
        <v>1208</v>
      </c>
      <c r="AN207" s="371"/>
      <c r="AO207" s="341">
        <v>353505181</v>
      </c>
      <c r="AP207" s="356"/>
      <c r="AQ207" s="356"/>
      <c r="AR207" s="356"/>
      <c r="AS207" s="344"/>
      <c r="AT207" s="344"/>
    </row>
    <row r="208" spans="1:46">
      <c r="A208" s="217">
        <v>2021</v>
      </c>
      <c r="B208" s="339" t="s">
        <v>2662</v>
      </c>
      <c r="C208" s="338" t="s">
        <v>26</v>
      </c>
      <c r="D208" s="336"/>
      <c r="E208" s="339"/>
      <c r="F208" s="336"/>
      <c r="G208" s="336"/>
      <c r="H208" s="336"/>
      <c r="I208" s="336"/>
      <c r="J208" s="336"/>
      <c r="K208" s="338" t="s">
        <v>319</v>
      </c>
      <c r="L208" s="338">
        <v>62</v>
      </c>
      <c r="M208" s="367"/>
      <c r="N208" s="368"/>
      <c r="Q208" s="370"/>
      <c r="R208" s="370"/>
      <c r="S208" s="370"/>
      <c r="T208" s="370"/>
      <c r="U208" s="953">
        <v>20300000</v>
      </c>
      <c r="V208" s="953">
        <f t="shared" si="28"/>
        <v>406000000</v>
      </c>
      <c r="W208" s="580">
        <v>19000000</v>
      </c>
      <c r="X208" s="580">
        <f t="shared" si="29"/>
        <v>380000000</v>
      </c>
      <c r="Y208" s="351">
        <v>3000000</v>
      </c>
      <c r="Z208" s="340">
        <v>25000000</v>
      </c>
      <c r="AA208" s="372"/>
      <c r="AB208" s="374"/>
      <c r="AC208" s="374"/>
      <c r="AD208" s="375"/>
      <c r="AE208" s="372"/>
      <c r="AF208" s="369" t="s">
        <v>1248</v>
      </c>
      <c r="AG208" s="955">
        <v>500000</v>
      </c>
      <c r="AH208" s="372">
        <v>15500000</v>
      </c>
      <c r="AI208" s="372">
        <f t="shared" si="26"/>
        <v>49500000</v>
      </c>
      <c r="AJ208" s="372">
        <f t="shared" si="27"/>
        <v>74500000</v>
      </c>
      <c r="AK208" s="340">
        <v>15000000</v>
      </c>
      <c r="AL208" s="961">
        <v>90000000</v>
      </c>
      <c r="AM208" s="376" t="s">
        <v>2192</v>
      </c>
      <c r="AN208" s="371"/>
      <c r="AO208" s="341">
        <v>527299431</v>
      </c>
      <c r="AP208" s="356"/>
      <c r="AQ208" s="356"/>
      <c r="AR208" s="356"/>
      <c r="AS208" s="344"/>
      <c r="AT208" s="344"/>
    </row>
    <row r="209" spans="1:46">
      <c r="A209" s="217">
        <v>2021</v>
      </c>
      <c r="B209" s="339" t="s">
        <v>2670</v>
      </c>
      <c r="C209" s="338" t="s">
        <v>772</v>
      </c>
      <c r="D209" s="336"/>
      <c r="E209" s="339"/>
      <c r="F209" s="336"/>
      <c r="G209" s="336"/>
      <c r="H209" s="336"/>
      <c r="I209" s="336"/>
      <c r="J209" s="336"/>
      <c r="K209" s="338" t="s">
        <v>319</v>
      </c>
      <c r="L209" s="338">
        <v>52</v>
      </c>
      <c r="N209" s="368"/>
      <c r="Q209" s="370"/>
      <c r="R209" s="370"/>
      <c r="S209" s="370"/>
      <c r="T209" s="370"/>
      <c r="U209" s="953">
        <v>17000000</v>
      </c>
      <c r="V209" s="953">
        <f t="shared" si="28"/>
        <v>340000000</v>
      </c>
      <c r="W209" s="580">
        <v>18000000</v>
      </c>
      <c r="X209" s="581">
        <f t="shared" si="29"/>
        <v>360000000</v>
      </c>
      <c r="Y209" s="351">
        <v>3000000</v>
      </c>
      <c r="Z209" s="340">
        <v>25000000</v>
      </c>
      <c r="AA209" s="372"/>
      <c r="AB209" s="374"/>
      <c r="AC209" s="374"/>
      <c r="AD209" s="375"/>
      <c r="AE209" s="372"/>
      <c r="AF209" s="369" t="s">
        <v>2873</v>
      </c>
      <c r="AG209" s="955">
        <v>500000</v>
      </c>
      <c r="AH209" s="372">
        <f>AG209*9</f>
        <v>4500000</v>
      </c>
      <c r="AI209" s="372">
        <f t="shared" ref="AI209:AI218" si="30">AJ209-Z209</f>
        <v>58000000</v>
      </c>
      <c r="AJ209" s="372">
        <f t="shared" ref="AJ209:AJ218" si="31">AL209-AH209</f>
        <v>83000000</v>
      </c>
      <c r="AK209" s="340">
        <v>15000000</v>
      </c>
      <c r="AL209" s="961">
        <v>87500000</v>
      </c>
      <c r="AM209" s="368" t="s">
        <v>1205</v>
      </c>
      <c r="AN209" s="371"/>
      <c r="AO209" s="341">
        <v>423293218</v>
      </c>
      <c r="AP209" s="356"/>
      <c r="AQ209" s="356"/>
      <c r="AR209" s="356"/>
      <c r="AS209" s="344"/>
      <c r="AT209" s="344"/>
    </row>
    <row r="210" spans="1:46">
      <c r="A210" s="217">
        <v>2021</v>
      </c>
      <c r="B210" s="339" t="s">
        <v>2711</v>
      </c>
      <c r="C210" s="338" t="s">
        <v>19</v>
      </c>
      <c r="D210" s="336"/>
      <c r="E210" s="339"/>
      <c r="F210" s="336"/>
      <c r="G210" s="336"/>
      <c r="H210" s="336"/>
      <c r="I210" s="336"/>
      <c r="J210" s="336"/>
      <c r="K210" s="338" t="s">
        <v>319</v>
      </c>
      <c r="L210" s="338">
        <v>52</v>
      </c>
      <c r="N210" s="368"/>
      <c r="P210" s="368"/>
      <c r="Q210" s="368"/>
      <c r="R210" s="334"/>
      <c r="S210" s="334"/>
      <c r="T210" s="334"/>
      <c r="U210" s="953">
        <v>19600000</v>
      </c>
      <c r="V210" s="953">
        <f>U210*20</f>
        <v>392000000</v>
      </c>
      <c r="W210" s="580">
        <v>18000000</v>
      </c>
      <c r="X210" s="581">
        <f t="shared" si="29"/>
        <v>360000000</v>
      </c>
      <c r="Y210" s="351">
        <v>3000000</v>
      </c>
      <c r="Z210" s="340">
        <v>25000000</v>
      </c>
      <c r="AA210" s="372"/>
      <c r="AB210" s="368"/>
      <c r="AC210" s="368"/>
      <c r="AD210" s="375"/>
      <c r="AE210" s="372"/>
      <c r="AF210" s="369" t="s">
        <v>1135</v>
      </c>
      <c r="AG210" s="953">
        <v>1000000</v>
      </c>
      <c r="AH210" s="372">
        <f>AG210*30</f>
        <v>30000000</v>
      </c>
      <c r="AI210" s="372">
        <f t="shared" si="30"/>
        <v>40000000</v>
      </c>
      <c r="AJ210" s="372">
        <f t="shared" si="31"/>
        <v>65000000</v>
      </c>
      <c r="AK210" s="340">
        <v>15000000</v>
      </c>
      <c r="AL210" s="961">
        <v>95000000</v>
      </c>
      <c r="AM210" s="368" t="s">
        <v>1205</v>
      </c>
      <c r="AN210" s="371"/>
      <c r="AO210" s="341">
        <v>423293218</v>
      </c>
      <c r="AP210" s="356"/>
      <c r="AQ210" s="356"/>
      <c r="AR210" s="356"/>
      <c r="AS210" s="344"/>
      <c r="AT210" s="344"/>
    </row>
    <row r="211" spans="1:46">
      <c r="A211" s="217">
        <v>2021</v>
      </c>
      <c r="B211" s="339" t="s">
        <v>2874</v>
      </c>
      <c r="C211" s="338" t="s">
        <v>19</v>
      </c>
      <c r="D211" s="336"/>
      <c r="E211" s="336"/>
      <c r="F211" s="377"/>
      <c r="G211" s="377"/>
      <c r="H211" s="337"/>
      <c r="I211" s="336"/>
      <c r="J211" s="336"/>
      <c r="K211" s="338" t="s">
        <v>319</v>
      </c>
      <c r="L211" s="338">
        <v>52</v>
      </c>
      <c r="M211" s="336"/>
      <c r="N211" s="338"/>
      <c r="O211" s="338"/>
      <c r="P211" s="338"/>
      <c r="Q211" s="336"/>
      <c r="R211" s="339"/>
      <c r="S211" s="339"/>
      <c r="T211" s="339"/>
      <c r="U211" s="953">
        <v>19600000</v>
      </c>
      <c r="V211" s="953">
        <f>U211*20</f>
        <v>392000000</v>
      </c>
      <c r="W211" s="579">
        <v>25000000</v>
      </c>
      <c r="X211" s="579">
        <f t="shared" si="29"/>
        <v>500000000</v>
      </c>
      <c r="Y211" s="351">
        <v>3000000</v>
      </c>
      <c r="Z211" s="340">
        <v>25000000</v>
      </c>
      <c r="AA211" s="341"/>
      <c r="AB211" s="341"/>
      <c r="AC211" s="341"/>
      <c r="AD211" s="341"/>
      <c r="AE211" s="341"/>
      <c r="AF211" s="579" t="s">
        <v>2875</v>
      </c>
      <c r="AG211" s="953" t="s">
        <v>2876</v>
      </c>
      <c r="AH211" s="341">
        <v>43500000</v>
      </c>
      <c r="AI211" s="372">
        <f t="shared" si="30"/>
        <v>26500000</v>
      </c>
      <c r="AJ211" s="372">
        <f t="shared" si="31"/>
        <v>51500000</v>
      </c>
      <c r="AK211" s="340">
        <v>15000000</v>
      </c>
      <c r="AL211" s="961">
        <v>95000000</v>
      </c>
      <c r="AM211" s="368" t="s">
        <v>1205</v>
      </c>
      <c r="AN211" s="341"/>
      <c r="AO211" s="341">
        <v>423293218</v>
      </c>
      <c r="AP211" s="342"/>
      <c r="AQ211" s="342"/>
      <c r="AR211" s="342"/>
      <c r="AS211" s="344"/>
      <c r="AT211" s="336"/>
    </row>
    <row r="212" spans="1:46">
      <c r="A212" s="217">
        <v>2021</v>
      </c>
      <c r="B212" s="339" t="s">
        <v>2884</v>
      </c>
      <c r="C212" s="338" t="s">
        <v>35</v>
      </c>
      <c r="D212" s="336"/>
      <c r="E212" s="336"/>
      <c r="F212" s="336"/>
      <c r="G212" s="336"/>
      <c r="H212" s="336"/>
      <c r="I212" s="336"/>
      <c r="J212" s="336"/>
      <c r="K212" s="338" t="s">
        <v>2315</v>
      </c>
      <c r="L212" s="338">
        <v>32</v>
      </c>
      <c r="M212" s="336"/>
      <c r="N212" s="338"/>
      <c r="O212" s="338"/>
      <c r="P212" s="336"/>
      <c r="Q212" s="336"/>
      <c r="R212" s="339"/>
      <c r="S212" s="339"/>
      <c r="T212" s="339"/>
      <c r="U212" s="953">
        <v>18750000</v>
      </c>
      <c r="V212" s="953">
        <f>U212*11</f>
        <v>206250000</v>
      </c>
      <c r="W212" s="579">
        <v>20000000</v>
      </c>
      <c r="X212" s="579">
        <f t="shared" si="29"/>
        <v>400000000</v>
      </c>
      <c r="Y212" s="351">
        <v>3000000</v>
      </c>
      <c r="Z212" s="340">
        <v>25000000</v>
      </c>
      <c r="AA212" s="341"/>
      <c r="AB212" s="341"/>
      <c r="AC212" s="341"/>
      <c r="AD212" s="341"/>
      <c r="AE212" s="341"/>
      <c r="AF212" s="579" t="s">
        <v>1281</v>
      </c>
      <c r="AG212" s="953" t="s">
        <v>2885</v>
      </c>
      <c r="AH212" s="341">
        <v>20000000</v>
      </c>
      <c r="AI212" s="341">
        <f t="shared" si="30"/>
        <v>48500000</v>
      </c>
      <c r="AJ212" s="341">
        <f t="shared" si="31"/>
        <v>73500000</v>
      </c>
      <c r="AK212" s="340">
        <v>15000000</v>
      </c>
      <c r="AL212" s="961">
        <v>93500000</v>
      </c>
      <c r="AM212" s="341" t="s">
        <v>2668</v>
      </c>
      <c r="AN212" s="341"/>
      <c r="AO212" s="341">
        <v>259307105</v>
      </c>
      <c r="AP212" s="342"/>
      <c r="AQ212" s="342"/>
      <c r="AR212" s="342"/>
      <c r="AS212" s="344"/>
      <c r="AT212" s="336"/>
    </row>
    <row r="213" spans="1:46">
      <c r="A213" s="217">
        <v>2021</v>
      </c>
      <c r="B213" s="339" t="s">
        <v>2713</v>
      </c>
      <c r="C213" s="338" t="s">
        <v>12</v>
      </c>
      <c r="D213" s="336"/>
      <c r="E213" s="336"/>
      <c r="F213" s="336"/>
      <c r="G213" s="336"/>
      <c r="H213" s="336"/>
      <c r="I213" s="336"/>
      <c r="J213" s="336"/>
      <c r="K213" s="338" t="s">
        <v>319</v>
      </c>
      <c r="L213" s="338">
        <v>52</v>
      </c>
      <c r="M213" s="336"/>
      <c r="N213" s="338"/>
      <c r="O213" s="338"/>
      <c r="P213" s="336"/>
      <c r="Q213" s="336"/>
      <c r="R213" s="339"/>
      <c r="S213" s="339"/>
      <c r="T213" s="339"/>
      <c r="U213" s="960">
        <v>22500000</v>
      </c>
      <c r="V213" s="960">
        <f t="shared" ref="V213:V220" si="32">U213*20</f>
        <v>450000000</v>
      </c>
      <c r="W213" s="580">
        <v>18000000</v>
      </c>
      <c r="X213" s="581">
        <f>W213*20</f>
        <v>360000000</v>
      </c>
      <c r="Y213" s="351">
        <v>3000000</v>
      </c>
      <c r="Z213" s="340">
        <v>25000000</v>
      </c>
      <c r="AA213" s="341"/>
      <c r="AB213" s="341"/>
      <c r="AC213" s="341"/>
      <c r="AD213" s="341"/>
      <c r="AE213" s="341"/>
      <c r="AF213" s="579" t="s">
        <v>1329</v>
      </c>
      <c r="AG213" s="953" t="s">
        <v>2895</v>
      </c>
      <c r="AH213" s="341">
        <v>26000000</v>
      </c>
      <c r="AI213" s="341">
        <f t="shared" si="30"/>
        <v>44500000</v>
      </c>
      <c r="AJ213" s="341">
        <f t="shared" si="31"/>
        <v>69500000</v>
      </c>
      <c r="AK213" s="340">
        <v>15000000</v>
      </c>
      <c r="AL213" s="961">
        <v>95500000</v>
      </c>
      <c r="AM213" s="368" t="s">
        <v>1205</v>
      </c>
      <c r="AN213" s="371"/>
      <c r="AO213" s="341">
        <v>423293218</v>
      </c>
      <c r="AP213" s="356"/>
      <c r="AQ213" s="356"/>
      <c r="AR213" s="356"/>
      <c r="AS213" s="344"/>
      <c r="AT213" s="344"/>
    </row>
    <row r="214" spans="1:46">
      <c r="A214" s="217">
        <v>2021</v>
      </c>
      <c r="B214" s="339" t="s">
        <v>2861</v>
      </c>
      <c r="C214" s="338" t="s">
        <v>26</v>
      </c>
      <c r="D214" s="336"/>
      <c r="E214" s="339"/>
      <c r="F214" s="336"/>
      <c r="G214" s="336"/>
      <c r="H214" s="336"/>
      <c r="I214" s="336"/>
      <c r="J214" s="336"/>
      <c r="K214" s="338" t="s">
        <v>319</v>
      </c>
      <c r="L214" s="338">
        <v>52</v>
      </c>
      <c r="M214" s="367"/>
      <c r="N214" s="368"/>
      <c r="Q214" s="370"/>
      <c r="R214" s="370"/>
      <c r="S214" s="370"/>
      <c r="T214" s="370"/>
      <c r="U214" s="953">
        <v>20300000</v>
      </c>
      <c r="V214" s="953">
        <f t="shared" si="32"/>
        <v>406000000</v>
      </c>
      <c r="W214" s="580">
        <v>18000000</v>
      </c>
      <c r="X214" s="581">
        <f>W214*20</f>
        <v>360000000</v>
      </c>
      <c r="Y214" s="351">
        <v>3000000</v>
      </c>
      <c r="Z214" s="340">
        <v>25000000</v>
      </c>
      <c r="AA214" s="372"/>
      <c r="AB214" s="374"/>
      <c r="AC214" s="374"/>
      <c r="AD214" s="372"/>
      <c r="AE214" s="372"/>
      <c r="AF214" s="369" t="s">
        <v>1324</v>
      </c>
      <c r="AG214" s="957" t="s">
        <v>2896</v>
      </c>
      <c r="AH214" s="372">
        <v>16900000</v>
      </c>
      <c r="AI214" s="372">
        <f t="shared" si="30"/>
        <v>50500000</v>
      </c>
      <c r="AJ214" s="372">
        <f t="shared" si="31"/>
        <v>75500000</v>
      </c>
      <c r="AK214" s="340">
        <v>15000000</v>
      </c>
      <c r="AL214" s="963">
        <v>92400000</v>
      </c>
      <c r="AM214" s="368" t="s">
        <v>1205</v>
      </c>
      <c r="AN214" s="371"/>
      <c r="AO214" s="341">
        <v>423293218</v>
      </c>
      <c r="AP214" s="356"/>
      <c r="AQ214" s="356"/>
      <c r="AR214" s="356"/>
      <c r="AS214" s="344"/>
      <c r="AT214" s="344"/>
    </row>
    <row r="215" spans="1:46">
      <c r="A215" s="217">
        <v>2021</v>
      </c>
      <c r="B215" s="339" t="s">
        <v>2663</v>
      </c>
      <c r="C215" s="338" t="s">
        <v>19</v>
      </c>
      <c r="D215" s="336"/>
      <c r="E215" s="339"/>
      <c r="F215" s="336"/>
      <c r="G215" s="336"/>
      <c r="H215" s="336"/>
      <c r="I215" s="336"/>
      <c r="J215" s="336"/>
      <c r="K215" s="338" t="s">
        <v>319</v>
      </c>
      <c r="L215" s="338">
        <v>62</v>
      </c>
      <c r="M215" s="367"/>
      <c r="N215" s="368"/>
      <c r="Q215" s="370"/>
      <c r="R215" s="370"/>
      <c r="S215" s="370"/>
      <c r="T215" s="370"/>
      <c r="U215" s="953">
        <v>19600000</v>
      </c>
      <c r="V215" s="953">
        <f t="shared" si="32"/>
        <v>392000000</v>
      </c>
      <c r="W215" s="580">
        <v>19000000</v>
      </c>
      <c r="X215" s="580">
        <f>W215*20</f>
        <v>380000000</v>
      </c>
      <c r="Y215" s="351">
        <v>3000000</v>
      </c>
      <c r="Z215" s="340">
        <v>25000000</v>
      </c>
      <c r="AA215" s="372"/>
      <c r="AB215" s="374"/>
      <c r="AC215" s="374"/>
      <c r="AD215" s="372"/>
      <c r="AE215" s="372"/>
      <c r="AF215" s="369" t="s">
        <v>1283</v>
      </c>
      <c r="AG215" s="955" t="s">
        <v>2876</v>
      </c>
      <c r="AH215" s="372">
        <v>28500000</v>
      </c>
      <c r="AI215" s="372">
        <f t="shared" si="30"/>
        <v>44000000</v>
      </c>
      <c r="AJ215" s="372">
        <f t="shared" si="31"/>
        <v>69000000</v>
      </c>
      <c r="AK215" s="340">
        <v>15000000</v>
      </c>
      <c r="AL215" s="963">
        <v>97500000</v>
      </c>
      <c r="AM215" s="376" t="s">
        <v>2192</v>
      </c>
      <c r="AN215" s="371"/>
      <c r="AO215" s="341">
        <v>527299431</v>
      </c>
      <c r="AP215" s="356"/>
      <c r="AQ215" s="356"/>
      <c r="AR215" s="356"/>
      <c r="AS215" s="344"/>
      <c r="AT215" s="344"/>
    </row>
    <row r="216" spans="1:46">
      <c r="A216" s="217">
        <v>2021</v>
      </c>
      <c r="B216" s="339" t="s">
        <v>2959</v>
      </c>
      <c r="C216" s="338" t="s">
        <v>26</v>
      </c>
      <c r="D216" s="336"/>
      <c r="E216" s="339"/>
      <c r="F216" s="336"/>
      <c r="G216" s="336"/>
      <c r="H216" s="336"/>
      <c r="I216" s="336"/>
      <c r="J216" s="336"/>
      <c r="K216" s="338" t="s">
        <v>319</v>
      </c>
      <c r="L216" s="338">
        <v>62</v>
      </c>
      <c r="M216" s="367"/>
      <c r="N216" s="368"/>
      <c r="Q216" s="370"/>
      <c r="R216" s="370"/>
      <c r="S216" s="370"/>
      <c r="T216" s="370"/>
      <c r="U216" s="953">
        <v>20300000</v>
      </c>
      <c r="V216" s="953">
        <f t="shared" si="32"/>
        <v>406000000</v>
      </c>
      <c r="W216" s="580">
        <v>17000000</v>
      </c>
      <c r="X216" s="581">
        <f>W216*10</f>
        <v>170000000</v>
      </c>
      <c r="Y216" s="351">
        <v>3000000</v>
      </c>
      <c r="Z216" s="340">
        <v>25000000</v>
      </c>
      <c r="AA216" s="372"/>
      <c r="AB216" s="374"/>
      <c r="AC216" s="374"/>
      <c r="AD216" s="372"/>
      <c r="AE216" s="372"/>
      <c r="AF216" s="369" t="s">
        <v>1286</v>
      </c>
      <c r="AG216" s="955">
        <v>500000</v>
      </c>
      <c r="AH216" s="372">
        <v>13500000</v>
      </c>
      <c r="AI216" s="372">
        <f t="shared" si="30"/>
        <v>59500000</v>
      </c>
      <c r="AJ216" s="372">
        <f t="shared" si="31"/>
        <v>84500000</v>
      </c>
      <c r="AK216" s="340">
        <v>15000000</v>
      </c>
      <c r="AL216" s="963">
        <v>98000000</v>
      </c>
      <c r="AM216" s="376" t="s">
        <v>2192</v>
      </c>
      <c r="AN216" s="371"/>
      <c r="AO216" s="341">
        <v>527299431</v>
      </c>
      <c r="AP216" s="356"/>
      <c r="AQ216" s="356"/>
      <c r="AR216" s="356"/>
      <c r="AS216" s="344"/>
      <c r="AT216" s="344"/>
    </row>
    <row r="217" spans="1:46">
      <c r="A217" s="217">
        <v>2021</v>
      </c>
      <c r="B217" s="339" t="s">
        <v>2921</v>
      </c>
      <c r="C217" s="338" t="s">
        <v>19</v>
      </c>
      <c r="D217" s="336"/>
      <c r="E217" s="339"/>
      <c r="F217" s="336"/>
      <c r="G217" s="336"/>
      <c r="H217" s="336"/>
      <c r="I217" s="336"/>
      <c r="J217" s="336"/>
      <c r="K217" s="338" t="s">
        <v>319</v>
      </c>
      <c r="L217" s="338">
        <v>42</v>
      </c>
      <c r="M217" s="367"/>
      <c r="N217" s="368"/>
      <c r="Q217" s="370"/>
      <c r="R217" s="370"/>
      <c r="S217" s="370"/>
      <c r="T217" s="370"/>
      <c r="U217" s="953">
        <v>19600000</v>
      </c>
      <c r="V217" s="953">
        <f t="shared" si="32"/>
        <v>392000000</v>
      </c>
      <c r="W217" s="580">
        <v>20000000</v>
      </c>
      <c r="X217" s="580">
        <f>W217*10</f>
        <v>200000000</v>
      </c>
      <c r="Y217" s="351">
        <v>3000000</v>
      </c>
      <c r="Z217" s="340">
        <v>25000000</v>
      </c>
      <c r="AA217" s="372"/>
      <c r="AB217" s="374"/>
      <c r="AC217" s="374"/>
      <c r="AD217" s="372"/>
      <c r="AE217" s="372"/>
      <c r="AF217" s="369" t="s">
        <v>1299</v>
      </c>
      <c r="AG217" s="955">
        <v>500000</v>
      </c>
      <c r="AH217" s="372">
        <v>5000000</v>
      </c>
      <c r="AI217" s="372">
        <f t="shared" si="30"/>
        <v>62000000</v>
      </c>
      <c r="AJ217" s="372">
        <f t="shared" si="31"/>
        <v>87000000</v>
      </c>
      <c r="AK217" s="340">
        <v>15000000</v>
      </c>
      <c r="AL217" s="963">
        <v>92000000</v>
      </c>
      <c r="AM217" s="341" t="s">
        <v>1208</v>
      </c>
      <c r="AN217" s="371"/>
      <c r="AO217" s="341">
        <v>353505181</v>
      </c>
      <c r="AP217" s="356"/>
      <c r="AQ217" s="356"/>
      <c r="AR217" s="356"/>
      <c r="AS217" s="344"/>
      <c r="AT217" s="344"/>
    </row>
    <row r="218" spans="1:46">
      <c r="A218" s="217">
        <v>2021</v>
      </c>
      <c r="B218" s="339" t="s">
        <v>2766</v>
      </c>
      <c r="C218" s="338" t="s">
        <v>763</v>
      </c>
      <c r="D218" s="336"/>
      <c r="E218" s="339"/>
      <c r="F218" s="336"/>
      <c r="G218" s="336"/>
      <c r="H218" s="336"/>
      <c r="I218" s="336"/>
      <c r="J218" s="336"/>
      <c r="K218" s="338" t="s">
        <v>319</v>
      </c>
      <c r="L218" s="338">
        <v>42</v>
      </c>
      <c r="M218" s="367"/>
      <c r="N218" s="368"/>
      <c r="Q218" s="370"/>
      <c r="R218" s="370"/>
      <c r="S218" s="370"/>
      <c r="T218" s="370"/>
      <c r="U218" s="960">
        <v>19000000</v>
      </c>
      <c r="V218" s="960">
        <f t="shared" si="32"/>
        <v>380000000</v>
      </c>
      <c r="W218" s="580">
        <v>19000000</v>
      </c>
      <c r="X218" s="580">
        <f t="shared" ref="X218:X227" si="33">W218*20</f>
        <v>380000000</v>
      </c>
      <c r="Y218" s="351">
        <v>3000000</v>
      </c>
      <c r="Z218" s="340">
        <v>25000000</v>
      </c>
      <c r="AA218" s="372"/>
      <c r="AB218" s="374"/>
      <c r="AC218" s="374"/>
      <c r="AD218" s="372"/>
      <c r="AE218" s="372"/>
      <c r="AF218" s="369" t="s">
        <v>1228</v>
      </c>
      <c r="AG218" s="957">
        <v>1500000</v>
      </c>
      <c r="AH218" s="372">
        <f>AG218*21</f>
        <v>31500000</v>
      </c>
      <c r="AI218" s="372">
        <f t="shared" si="30"/>
        <v>38500000</v>
      </c>
      <c r="AJ218" s="372">
        <f t="shared" si="31"/>
        <v>63500000</v>
      </c>
      <c r="AK218" s="340">
        <v>15000000</v>
      </c>
      <c r="AL218" s="963">
        <v>95000000</v>
      </c>
      <c r="AM218" s="341" t="s">
        <v>1208</v>
      </c>
      <c r="AN218" s="371"/>
      <c r="AO218" s="341">
        <v>353505181</v>
      </c>
      <c r="AP218" s="356"/>
      <c r="AQ218" s="356"/>
      <c r="AR218" s="356"/>
      <c r="AS218" s="344"/>
      <c r="AT218" s="344"/>
    </row>
    <row r="219" spans="1:46">
      <c r="A219" s="217">
        <v>2021</v>
      </c>
      <c r="B219" s="339" t="s">
        <v>2765</v>
      </c>
      <c r="C219" s="338" t="s">
        <v>763</v>
      </c>
      <c r="D219" s="336"/>
      <c r="E219" s="339"/>
      <c r="F219" s="336"/>
      <c r="G219" s="336"/>
      <c r="H219" s="336"/>
      <c r="I219" s="336"/>
      <c r="J219" s="336"/>
      <c r="K219" s="338" t="s">
        <v>319</v>
      </c>
      <c r="L219" s="338">
        <v>52</v>
      </c>
      <c r="M219" s="367"/>
      <c r="N219" s="368"/>
      <c r="Q219" s="370"/>
      <c r="R219" s="370"/>
      <c r="S219" s="370"/>
      <c r="T219" s="370"/>
      <c r="U219" s="960">
        <v>19000000</v>
      </c>
      <c r="V219" s="960">
        <f t="shared" si="32"/>
        <v>380000000</v>
      </c>
      <c r="W219" s="580">
        <v>19000000</v>
      </c>
      <c r="X219" s="580">
        <f t="shared" si="33"/>
        <v>380000000</v>
      </c>
      <c r="Y219" s="351">
        <v>3000000</v>
      </c>
      <c r="Z219" s="340">
        <v>25000000</v>
      </c>
      <c r="AA219" s="372"/>
      <c r="AB219" s="374"/>
      <c r="AC219" s="374"/>
      <c r="AD219" s="372"/>
      <c r="AE219" s="372"/>
      <c r="AF219" s="369" t="s">
        <v>1312</v>
      </c>
      <c r="AG219" s="955" t="s">
        <v>2960</v>
      </c>
      <c r="AH219" s="372">
        <v>31200000</v>
      </c>
      <c r="AI219" s="372">
        <f>AJ219-Z219</f>
        <v>40800000</v>
      </c>
      <c r="AJ219" s="372">
        <f>AL219-AH219</f>
        <v>65800000</v>
      </c>
      <c r="AK219" s="340">
        <v>15000000</v>
      </c>
      <c r="AL219" s="963">
        <v>97000000</v>
      </c>
      <c r="AM219" s="368" t="s">
        <v>1205</v>
      </c>
      <c r="AN219" s="371"/>
      <c r="AO219" s="341">
        <v>423293218</v>
      </c>
      <c r="AP219" s="356"/>
      <c r="AQ219" s="356"/>
      <c r="AR219" s="356"/>
      <c r="AS219" s="344"/>
      <c r="AT219" s="344"/>
    </row>
    <row r="220" spans="1:46">
      <c r="A220" s="217">
        <v>2021</v>
      </c>
      <c r="B220" s="339" t="s">
        <v>2685</v>
      </c>
      <c r="C220" s="338" t="s">
        <v>763</v>
      </c>
      <c r="D220" s="336"/>
      <c r="E220" s="339"/>
      <c r="F220" s="336"/>
      <c r="G220" s="336"/>
      <c r="H220" s="336"/>
      <c r="I220" s="336"/>
      <c r="J220" s="336"/>
      <c r="K220" s="338" t="s">
        <v>319</v>
      </c>
      <c r="L220" s="338">
        <v>52</v>
      </c>
      <c r="M220" s="367"/>
      <c r="N220" s="368"/>
      <c r="Q220" s="370"/>
      <c r="R220" s="370"/>
      <c r="S220" s="370"/>
      <c r="T220" s="370"/>
      <c r="U220" s="960">
        <v>19000000</v>
      </c>
      <c r="V220" s="960">
        <f t="shared" si="32"/>
        <v>380000000</v>
      </c>
      <c r="W220" s="580">
        <v>19000000</v>
      </c>
      <c r="X220" s="580">
        <f t="shared" si="33"/>
        <v>380000000</v>
      </c>
      <c r="Y220" s="351">
        <v>3000000</v>
      </c>
      <c r="Z220" s="340">
        <v>25000000</v>
      </c>
      <c r="AA220" s="372"/>
      <c r="AB220" s="374"/>
      <c r="AC220" s="374"/>
      <c r="AD220" s="372"/>
      <c r="AE220" s="372"/>
      <c r="AF220" s="369" t="s">
        <v>1253</v>
      </c>
      <c r="AG220" s="957" t="s">
        <v>2876</v>
      </c>
      <c r="AH220" s="372">
        <v>26500000</v>
      </c>
      <c r="AI220" s="372">
        <f>AJ220-Z220</f>
        <v>36500000</v>
      </c>
      <c r="AJ220" s="372">
        <f>AL220-AH220</f>
        <v>61500000</v>
      </c>
      <c r="AK220" s="340">
        <v>15000000</v>
      </c>
      <c r="AL220" s="963">
        <v>88000000</v>
      </c>
      <c r="AM220" s="368" t="s">
        <v>1205</v>
      </c>
      <c r="AN220" s="371"/>
      <c r="AO220" s="341">
        <v>423293218</v>
      </c>
      <c r="AP220" s="356"/>
      <c r="AQ220" s="356"/>
      <c r="AR220" s="356"/>
      <c r="AS220" s="344"/>
      <c r="AT220" s="344"/>
    </row>
    <row r="221" spans="1:46">
      <c r="A221" s="217">
        <v>2021</v>
      </c>
      <c r="B221" s="785" t="s">
        <v>2913</v>
      </c>
      <c r="C221" s="338" t="s">
        <v>26</v>
      </c>
      <c r="D221" s="336"/>
      <c r="E221" s="339"/>
      <c r="F221" s="336"/>
      <c r="G221" s="336"/>
      <c r="H221" s="336"/>
      <c r="I221" s="336"/>
      <c r="J221" s="336"/>
      <c r="K221" s="338" t="s">
        <v>319</v>
      </c>
      <c r="L221" s="338">
        <v>42</v>
      </c>
      <c r="M221" s="367"/>
      <c r="N221" s="368"/>
      <c r="Q221" s="370"/>
      <c r="R221" s="370"/>
      <c r="S221" s="370"/>
      <c r="T221" s="370"/>
      <c r="U221" s="953">
        <v>20300000</v>
      </c>
      <c r="V221" s="953">
        <f>U221*20</f>
        <v>406000000</v>
      </c>
      <c r="W221" s="580">
        <v>25000000</v>
      </c>
      <c r="X221" s="580">
        <f t="shared" si="33"/>
        <v>500000000</v>
      </c>
      <c r="Y221" s="351">
        <v>3000000</v>
      </c>
      <c r="Z221" s="340">
        <v>25000000</v>
      </c>
      <c r="AA221" s="372"/>
      <c r="AB221" s="374"/>
      <c r="AC221" s="374"/>
      <c r="AD221" s="372"/>
      <c r="AE221" s="372"/>
      <c r="AF221" s="369" t="s">
        <v>2289</v>
      </c>
      <c r="AG221" s="955"/>
      <c r="AH221" s="372">
        <v>17000000</v>
      </c>
      <c r="AI221" s="372">
        <f>AJ221-Z221</f>
        <v>57400000</v>
      </c>
      <c r="AJ221" s="372">
        <f>AL221-AH221</f>
        <v>82400000</v>
      </c>
      <c r="AK221" s="340">
        <v>15000000</v>
      </c>
      <c r="AL221" s="963">
        <v>99400000</v>
      </c>
      <c r="AM221" s="368" t="s">
        <v>1208</v>
      </c>
      <c r="AN221" s="371"/>
      <c r="AO221" s="341">
        <v>353505181</v>
      </c>
      <c r="AP221" s="356"/>
      <c r="AQ221" s="356"/>
      <c r="AR221" s="356"/>
      <c r="AS221" s="344"/>
      <c r="AT221" s="344"/>
    </row>
    <row r="222" spans="1:46">
      <c r="A222" s="217">
        <v>2021</v>
      </c>
      <c r="B222" s="785" t="s">
        <v>2919</v>
      </c>
      <c r="C222" s="338" t="s">
        <v>638</v>
      </c>
      <c r="D222" s="336"/>
      <c r="E222" s="339"/>
      <c r="F222" s="336"/>
      <c r="G222" s="336"/>
      <c r="H222" s="336"/>
      <c r="I222" s="336"/>
      <c r="J222" s="336"/>
      <c r="K222" s="338" t="s">
        <v>319</v>
      </c>
      <c r="L222" s="338">
        <v>42</v>
      </c>
      <c r="M222" s="367"/>
      <c r="N222" s="368"/>
      <c r="Q222" s="370"/>
      <c r="R222" s="370"/>
      <c r="S222" s="370"/>
      <c r="T222" s="370"/>
      <c r="U222" s="953">
        <v>25000000</v>
      </c>
      <c r="V222" s="953">
        <f>U222*11</f>
        <v>275000000</v>
      </c>
      <c r="W222" s="580">
        <v>22500000</v>
      </c>
      <c r="X222" s="580">
        <f t="shared" si="33"/>
        <v>450000000</v>
      </c>
      <c r="Y222" s="351">
        <v>3000000</v>
      </c>
      <c r="Z222" s="340">
        <v>25000000</v>
      </c>
      <c r="AA222" s="372"/>
      <c r="AB222" s="374"/>
      <c r="AC222" s="374"/>
      <c r="AD222" s="372"/>
      <c r="AE222" s="372"/>
      <c r="AF222" s="369" t="s">
        <v>3298</v>
      </c>
      <c r="AG222" s="955">
        <v>300000</v>
      </c>
      <c r="AH222" s="372">
        <v>22200000</v>
      </c>
      <c r="AI222" s="372">
        <f>AJ222-Z222</f>
        <v>49000000</v>
      </c>
      <c r="AJ222" s="372">
        <f>AL222-AH222</f>
        <v>74000000</v>
      </c>
      <c r="AK222" s="340">
        <v>15000000</v>
      </c>
      <c r="AL222" s="963">
        <v>96200000</v>
      </c>
      <c r="AM222" s="368" t="s">
        <v>1208</v>
      </c>
      <c r="AN222" s="371"/>
      <c r="AO222" s="341">
        <v>353505181</v>
      </c>
      <c r="AP222" s="356"/>
      <c r="AQ222" s="356"/>
      <c r="AR222" s="356"/>
      <c r="AS222" s="344"/>
      <c r="AT222" s="344"/>
    </row>
    <row r="223" spans="1:46">
      <c r="A223" s="217">
        <v>2021</v>
      </c>
      <c r="B223" s="786" t="s">
        <v>2508</v>
      </c>
      <c r="C223" s="338" t="s">
        <v>6</v>
      </c>
      <c r="D223" s="336"/>
      <c r="E223" s="339"/>
      <c r="F223" s="336"/>
      <c r="G223" s="336"/>
      <c r="H223" s="336"/>
      <c r="I223" s="336"/>
      <c r="J223" s="336"/>
      <c r="K223" s="338" t="s">
        <v>1118</v>
      </c>
      <c r="L223" s="338">
        <v>25</v>
      </c>
      <c r="M223" s="367"/>
      <c r="N223" s="368"/>
      <c r="Q223" s="370"/>
      <c r="R223" s="370"/>
      <c r="S223" s="370"/>
      <c r="T223" s="370"/>
      <c r="U223" s="953">
        <v>18750000</v>
      </c>
      <c r="V223" s="953">
        <f>U223*11</f>
        <v>206250000</v>
      </c>
      <c r="W223" s="580">
        <v>18000000</v>
      </c>
      <c r="X223" s="580">
        <f t="shared" si="33"/>
        <v>360000000</v>
      </c>
      <c r="Y223" s="351" t="s">
        <v>1761</v>
      </c>
      <c r="Z223" s="351" t="s">
        <v>1761</v>
      </c>
      <c r="AA223" s="372"/>
      <c r="AB223" s="374"/>
      <c r="AC223" s="374"/>
      <c r="AD223" s="372"/>
      <c r="AE223" s="372"/>
      <c r="AF223" s="369" t="s">
        <v>1761</v>
      </c>
      <c r="AG223" s="958" t="s">
        <v>1761</v>
      </c>
      <c r="AH223" s="369" t="s">
        <v>1761</v>
      </c>
      <c r="AI223" s="369" t="s">
        <v>1761</v>
      </c>
      <c r="AJ223" s="369" t="s">
        <v>1761</v>
      </c>
      <c r="AK223" s="373"/>
      <c r="AL223" s="963"/>
      <c r="AM223" s="368" t="s">
        <v>1382</v>
      </c>
      <c r="AN223" s="371"/>
      <c r="AO223" s="341">
        <v>262625556</v>
      </c>
      <c r="AP223" s="356"/>
      <c r="AQ223" s="356"/>
      <c r="AR223" s="356"/>
      <c r="AS223" s="344"/>
      <c r="AT223" s="344"/>
    </row>
    <row r="224" spans="1:46">
      <c r="A224" s="217">
        <v>2021</v>
      </c>
      <c r="B224" s="339" t="s">
        <v>3080</v>
      </c>
      <c r="C224" s="338" t="s">
        <v>1079</v>
      </c>
      <c r="D224" s="336"/>
      <c r="E224" s="339"/>
      <c r="F224" s="336"/>
      <c r="G224" s="336"/>
      <c r="H224" s="336"/>
      <c r="I224" s="336"/>
      <c r="J224" s="336"/>
      <c r="K224" s="338" t="s">
        <v>2667</v>
      </c>
      <c r="L224" s="338">
        <v>25</v>
      </c>
      <c r="M224" s="367"/>
      <c r="N224" s="368"/>
      <c r="Q224" s="370"/>
      <c r="R224" s="370"/>
      <c r="S224" s="370"/>
      <c r="T224" s="370"/>
      <c r="U224" s="953">
        <v>17000000</v>
      </c>
      <c r="V224" s="953">
        <f>U224*20</f>
        <v>340000000</v>
      </c>
      <c r="W224" s="580">
        <v>45000000</v>
      </c>
      <c r="X224" s="580">
        <f>W224*10</f>
        <v>450000000</v>
      </c>
      <c r="Y224" s="351">
        <v>3000000</v>
      </c>
      <c r="Z224" s="340">
        <v>25000000</v>
      </c>
      <c r="AA224" s="372"/>
      <c r="AB224" s="374"/>
      <c r="AC224" s="374"/>
      <c r="AD224" s="372"/>
      <c r="AE224" s="372"/>
      <c r="AF224" s="369" t="s">
        <v>2224</v>
      </c>
      <c r="AG224" s="955"/>
      <c r="AH224" s="372">
        <v>15000000</v>
      </c>
      <c r="AI224" s="372">
        <f>AJ224-Z224</f>
        <v>31000000</v>
      </c>
      <c r="AJ224" s="372">
        <f>AL224-AH224</f>
        <v>56000000</v>
      </c>
      <c r="AK224" s="340">
        <v>15000000</v>
      </c>
      <c r="AL224" s="963">
        <v>71000000</v>
      </c>
      <c r="AM224" s="341" t="s">
        <v>2668</v>
      </c>
      <c r="AN224" s="371"/>
      <c r="AO224" s="341">
        <v>259307105</v>
      </c>
      <c r="AP224" s="356"/>
      <c r="AQ224" s="356"/>
      <c r="AR224" s="356"/>
      <c r="AS224" s="344"/>
      <c r="AT224" s="344"/>
    </row>
    <row r="225" spans="1:46">
      <c r="A225" s="217">
        <v>2021</v>
      </c>
      <c r="B225" s="339" t="s">
        <v>2701</v>
      </c>
      <c r="C225" s="338" t="s">
        <v>12</v>
      </c>
      <c r="D225" s="336"/>
      <c r="E225" s="339"/>
      <c r="F225" s="336"/>
      <c r="G225" s="336"/>
      <c r="H225" s="336"/>
      <c r="I225" s="336"/>
      <c r="J225" s="336"/>
      <c r="K225" s="338" t="s">
        <v>2315</v>
      </c>
      <c r="L225" s="338">
        <v>52</v>
      </c>
      <c r="N225" s="368"/>
      <c r="Q225" s="370"/>
      <c r="R225" s="370"/>
      <c r="S225" s="370"/>
      <c r="T225" s="370"/>
      <c r="U225" s="960">
        <v>22500000</v>
      </c>
      <c r="V225" s="960">
        <f>U225*20</f>
        <v>450000000</v>
      </c>
      <c r="W225" s="580">
        <v>19000000</v>
      </c>
      <c r="X225" s="580">
        <f t="shared" si="33"/>
        <v>380000000</v>
      </c>
      <c r="Y225" s="351">
        <v>3000000</v>
      </c>
      <c r="Z225" s="340">
        <v>25000000</v>
      </c>
      <c r="AA225" s="372"/>
      <c r="AB225" s="374"/>
      <c r="AC225" s="374"/>
      <c r="AD225" s="372"/>
      <c r="AE225" s="372"/>
      <c r="AF225" s="369" t="s">
        <v>1316</v>
      </c>
      <c r="AG225" s="955" t="s">
        <v>2876</v>
      </c>
      <c r="AH225" s="372">
        <v>25500000</v>
      </c>
      <c r="AI225" s="372">
        <f>AJ225-Z225</f>
        <v>45500000</v>
      </c>
      <c r="AJ225" s="372">
        <f>AL225-AH225</f>
        <v>70500000</v>
      </c>
      <c r="AK225" s="340">
        <v>15000000</v>
      </c>
      <c r="AL225" s="963">
        <v>96000000</v>
      </c>
      <c r="AM225" s="368" t="s">
        <v>1205</v>
      </c>
      <c r="AN225" s="371"/>
      <c r="AO225" s="341">
        <v>423293218</v>
      </c>
      <c r="AP225" s="356"/>
      <c r="AQ225" s="356"/>
      <c r="AR225" s="356"/>
      <c r="AS225" s="344"/>
      <c r="AT225" s="344"/>
    </row>
    <row r="226" spans="1:46">
      <c r="A226" s="217">
        <v>2021</v>
      </c>
      <c r="B226" s="339" t="s">
        <v>3188</v>
      </c>
      <c r="C226" s="338" t="s">
        <v>505</v>
      </c>
      <c r="D226" s="336"/>
      <c r="E226" s="339"/>
      <c r="F226" s="336"/>
      <c r="G226" s="336"/>
      <c r="H226" s="336"/>
      <c r="I226" s="336"/>
      <c r="J226" s="336"/>
      <c r="K226" s="338" t="s">
        <v>1118</v>
      </c>
      <c r="L226" s="338">
        <v>25</v>
      </c>
      <c r="N226" s="368"/>
      <c r="Q226" s="370"/>
      <c r="R226" s="370"/>
      <c r="S226" s="370"/>
      <c r="T226" s="370"/>
      <c r="U226" s="953">
        <v>17000000</v>
      </c>
      <c r="V226" s="953">
        <f>U226*20</f>
        <v>340000000</v>
      </c>
      <c r="W226" s="580">
        <v>18000000</v>
      </c>
      <c r="X226" s="580">
        <f t="shared" si="33"/>
        <v>360000000</v>
      </c>
      <c r="Y226" s="351" t="s">
        <v>1761</v>
      </c>
      <c r="Z226" s="351" t="s">
        <v>1761</v>
      </c>
      <c r="AA226" s="372"/>
      <c r="AB226" s="374"/>
      <c r="AC226" s="374"/>
      <c r="AD226" s="372"/>
      <c r="AE226" s="372"/>
      <c r="AF226" s="369" t="s">
        <v>1761</v>
      </c>
      <c r="AG226" s="958" t="s">
        <v>1761</v>
      </c>
      <c r="AH226" s="369" t="s">
        <v>1761</v>
      </c>
      <c r="AI226" s="369" t="s">
        <v>1761</v>
      </c>
      <c r="AJ226" s="369" t="s">
        <v>1761</v>
      </c>
      <c r="AK226" s="373"/>
      <c r="AL226" s="963"/>
      <c r="AM226" s="368" t="s">
        <v>1382</v>
      </c>
      <c r="AN226" s="371"/>
      <c r="AO226" s="341">
        <v>262625556</v>
      </c>
      <c r="AP226" s="356"/>
      <c r="AQ226" s="356"/>
      <c r="AR226" s="356"/>
      <c r="AS226" s="344"/>
      <c r="AT226" s="344"/>
    </row>
    <row r="227" spans="1:46">
      <c r="A227" s="217">
        <v>2021</v>
      </c>
      <c r="B227" s="339" t="s">
        <v>2925</v>
      </c>
      <c r="C227" s="338" t="s">
        <v>35</v>
      </c>
      <c r="D227" s="336"/>
      <c r="E227" s="336"/>
      <c r="F227" s="336"/>
      <c r="G227" s="336"/>
      <c r="H227" s="337"/>
      <c r="I227" s="336"/>
      <c r="J227" s="336"/>
      <c r="K227" s="338" t="s">
        <v>1118</v>
      </c>
      <c r="L227" s="338">
        <v>25</v>
      </c>
      <c r="M227" s="336"/>
      <c r="N227" s="338"/>
      <c r="O227" s="338"/>
      <c r="P227" s="336"/>
      <c r="Q227" s="336"/>
      <c r="R227" s="339"/>
      <c r="S227" s="339"/>
      <c r="T227" s="339"/>
      <c r="U227" s="953">
        <v>18750000</v>
      </c>
      <c r="V227" s="953">
        <f>U227*11</f>
        <v>206250000</v>
      </c>
      <c r="W227" s="579">
        <v>17000000</v>
      </c>
      <c r="X227" s="579">
        <f t="shared" si="33"/>
        <v>340000000</v>
      </c>
      <c r="Y227" s="351" t="s">
        <v>1761</v>
      </c>
      <c r="Z227" s="351" t="s">
        <v>1761</v>
      </c>
      <c r="AA227" s="372"/>
      <c r="AB227" s="374"/>
      <c r="AC227" s="374"/>
      <c r="AD227" s="372"/>
      <c r="AE227" s="372"/>
      <c r="AF227" s="369" t="s">
        <v>1761</v>
      </c>
      <c r="AG227" s="958" t="s">
        <v>1761</v>
      </c>
      <c r="AH227" s="369" t="s">
        <v>1761</v>
      </c>
      <c r="AI227" s="369" t="s">
        <v>1761</v>
      </c>
      <c r="AJ227" s="369" t="s">
        <v>1761</v>
      </c>
      <c r="AK227" s="340"/>
      <c r="AL227" s="961"/>
      <c r="AM227" s="368" t="s">
        <v>1382</v>
      </c>
      <c r="AN227" s="341"/>
      <c r="AO227" s="341">
        <v>262625556</v>
      </c>
      <c r="AP227" s="342"/>
      <c r="AQ227" s="342"/>
      <c r="AR227" s="342"/>
      <c r="AS227" s="344"/>
      <c r="AT227" s="336"/>
    </row>
    <row r="228" spans="1:46">
      <c r="A228" s="217">
        <v>2021</v>
      </c>
      <c r="B228" s="339" t="s">
        <v>2915</v>
      </c>
      <c r="C228" s="338" t="s">
        <v>19</v>
      </c>
      <c r="D228" s="336"/>
      <c r="E228" s="336"/>
      <c r="F228" s="336"/>
      <c r="G228" s="336"/>
      <c r="H228" s="337"/>
      <c r="I228" s="336"/>
      <c r="J228" s="336"/>
      <c r="K228" s="338" t="s">
        <v>319</v>
      </c>
      <c r="L228" s="338">
        <v>42</v>
      </c>
      <c r="M228" s="336"/>
      <c r="N228" s="338"/>
      <c r="O228" s="338"/>
      <c r="P228" s="336"/>
      <c r="Q228" s="336"/>
      <c r="R228" s="339"/>
      <c r="S228" s="339"/>
      <c r="T228" s="339"/>
      <c r="U228" s="953">
        <v>19600000</v>
      </c>
      <c r="V228" s="953">
        <f>U228*20</f>
        <v>392000000</v>
      </c>
      <c r="W228" s="579">
        <v>22000000</v>
      </c>
      <c r="X228" s="579">
        <f>W228*10</f>
        <v>220000000</v>
      </c>
      <c r="Y228" s="351">
        <v>3000000</v>
      </c>
      <c r="Z228" s="340">
        <v>25000000</v>
      </c>
      <c r="AA228" s="341"/>
      <c r="AB228" s="341"/>
      <c r="AC228" s="341"/>
      <c r="AD228" s="341"/>
      <c r="AE228" s="341"/>
      <c r="AF228" s="579" t="s">
        <v>2224</v>
      </c>
      <c r="AG228" s="953">
        <v>300000</v>
      </c>
      <c r="AH228" s="341">
        <v>10500000</v>
      </c>
      <c r="AI228" s="372">
        <f>AJ228-Z228</f>
        <v>57500000</v>
      </c>
      <c r="AJ228" s="372">
        <f>AL228-AH228</f>
        <v>82500000</v>
      </c>
      <c r="AK228" s="340">
        <v>15000000</v>
      </c>
      <c r="AL228" s="961">
        <v>93000000</v>
      </c>
      <c r="AM228" s="368" t="s">
        <v>1208</v>
      </c>
      <c r="AN228" s="341"/>
      <c r="AO228" s="341">
        <v>353505181</v>
      </c>
      <c r="AP228" s="342"/>
      <c r="AQ228" s="342"/>
      <c r="AR228" s="342"/>
      <c r="AS228" s="344"/>
      <c r="AT228" s="336"/>
    </row>
    <row r="229" spans="1:46">
      <c r="A229" s="217">
        <v>2021</v>
      </c>
      <c r="B229" s="339" t="s">
        <v>3247</v>
      </c>
      <c r="C229" s="338" t="s">
        <v>505</v>
      </c>
      <c r="D229" s="336"/>
      <c r="E229" s="339"/>
      <c r="F229" s="336"/>
      <c r="G229" s="336"/>
      <c r="H229" s="336"/>
      <c r="I229" s="336"/>
      <c r="J229" s="336"/>
      <c r="K229" s="338" t="s">
        <v>1118</v>
      </c>
      <c r="L229" s="338">
        <v>25</v>
      </c>
      <c r="M229" s="336"/>
      <c r="N229" s="338"/>
      <c r="O229" s="338"/>
      <c r="P229" s="336"/>
      <c r="Q229" s="336"/>
      <c r="R229" s="339"/>
      <c r="S229" s="339"/>
      <c r="T229" s="339"/>
      <c r="U229" s="953">
        <v>17000000</v>
      </c>
      <c r="V229" s="953">
        <f>U229*20</f>
        <v>340000000</v>
      </c>
      <c r="W229" s="580">
        <v>18000000</v>
      </c>
      <c r="X229" s="580">
        <f>W229*10</f>
        <v>180000000</v>
      </c>
      <c r="Y229" s="351" t="s">
        <v>1761</v>
      </c>
      <c r="Z229" s="351" t="s">
        <v>1761</v>
      </c>
      <c r="AA229" s="372"/>
      <c r="AB229" s="374"/>
      <c r="AC229" s="374"/>
      <c r="AD229" s="372"/>
      <c r="AE229" s="372"/>
      <c r="AF229" s="369" t="s">
        <v>1761</v>
      </c>
      <c r="AG229" s="958" t="s">
        <v>1761</v>
      </c>
      <c r="AH229" s="369" t="s">
        <v>1761</v>
      </c>
      <c r="AI229" s="369" t="s">
        <v>1761</v>
      </c>
      <c r="AJ229" s="369" t="s">
        <v>1761</v>
      </c>
      <c r="AK229" s="340"/>
      <c r="AL229" s="961"/>
      <c r="AM229" s="368" t="s">
        <v>1382</v>
      </c>
      <c r="AN229" s="341"/>
      <c r="AO229" s="341" t="s">
        <v>1761</v>
      </c>
      <c r="AP229" s="342"/>
      <c r="AQ229" s="342"/>
      <c r="AR229" s="342"/>
      <c r="AS229" s="344"/>
      <c r="AT229" s="336"/>
    </row>
    <row r="230" spans="1:46">
      <c r="A230" s="217">
        <v>2021</v>
      </c>
      <c r="B230" s="857" t="s">
        <v>2911</v>
      </c>
      <c r="C230" s="338" t="s">
        <v>638</v>
      </c>
      <c r="D230" s="336"/>
      <c r="E230" s="339"/>
      <c r="F230" s="336"/>
      <c r="G230" s="336"/>
      <c r="H230" s="336"/>
      <c r="I230" s="336"/>
      <c r="J230" s="336"/>
      <c r="K230" s="338" t="s">
        <v>319</v>
      </c>
      <c r="L230" s="338">
        <v>42</v>
      </c>
      <c r="M230" s="367"/>
      <c r="N230" s="368"/>
      <c r="Q230" s="370"/>
      <c r="R230" s="370"/>
      <c r="S230" s="370"/>
      <c r="T230" s="370"/>
      <c r="U230" s="953">
        <v>25000000</v>
      </c>
      <c r="V230" s="953">
        <f>U230*11</f>
        <v>275000000</v>
      </c>
      <c r="W230" s="579">
        <v>22000000</v>
      </c>
      <c r="X230" s="579">
        <f t="shared" ref="X230:X241" si="34">W230*20</f>
        <v>440000000</v>
      </c>
      <c r="Y230" s="351">
        <v>3000000</v>
      </c>
      <c r="Z230" s="340">
        <v>25000000</v>
      </c>
      <c r="AA230" s="341"/>
      <c r="AB230" s="372"/>
      <c r="AC230" s="372"/>
      <c r="AD230" s="341"/>
      <c r="AE230" s="382"/>
      <c r="AF230" s="579" t="s">
        <v>1224</v>
      </c>
      <c r="AG230" s="953">
        <v>850000</v>
      </c>
      <c r="AH230" s="341">
        <f>AG230*34</f>
        <v>28900000</v>
      </c>
      <c r="AI230" s="372">
        <f t="shared" ref="AI230:AI238" si="35">AJ230-Z230</f>
        <v>45100000</v>
      </c>
      <c r="AJ230" s="372">
        <f t="shared" ref="AJ230:AJ238" si="36">AL230-AH230</f>
        <v>70100000</v>
      </c>
      <c r="AK230" s="340">
        <v>15000000</v>
      </c>
      <c r="AL230" s="963">
        <v>99000000</v>
      </c>
      <c r="AM230" s="368" t="s">
        <v>1208</v>
      </c>
      <c r="AN230" s="371"/>
      <c r="AO230" s="341">
        <v>353505181</v>
      </c>
      <c r="AP230" s="356"/>
      <c r="AQ230" s="356"/>
      <c r="AR230" s="356"/>
      <c r="AS230" s="344"/>
      <c r="AT230" s="344"/>
    </row>
    <row r="231" spans="1:46">
      <c r="A231" s="217">
        <v>2021</v>
      </c>
      <c r="B231" s="884" t="s">
        <v>3067</v>
      </c>
      <c r="C231" s="338" t="s">
        <v>26</v>
      </c>
      <c r="D231" s="336"/>
      <c r="E231" s="339"/>
      <c r="F231" s="336"/>
      <c r="G231" s="336"/>
      <c r="H231" s="336"/>
      <c r="I231" s="336"/>
      <c r="J231" s="336"/>
      <c r="K231" s="338" t="s">
        <v>319</v>
      </c>
      <c r="L231" s="338">
        <v>42</v>
      </c>
      <c r="N231" s="368"/>
      <c r="Q231" s="370"/>
      <c r="R231" s="370"/>
      <c r="S231" s="370"/>
      <c r="T231" s="370"/>
      <c r="U231" s="953">
        <v>20300000</v>
      </c>
      <c r="V231" s="953">
        <f>U231*20</f>
        <v>406000000</v>
      </c>
      <c r="W231" s="580">
        <v>30000000</v>
      </c>
      <c r="X231" s="579">
        <f t="shared" si="34"/>
        <v>600000000</v>
      </c>
      <c r="Y231" s="351">
        <v>3000000</v>
      </c>
      <c r="Z231" s="340">
        <v>25000000</v>
      </c>
      <c r="AA231" s="372"/>
      <c r="AB231" s="372"/>
      <c r="AC231" s="372"/>
      <c r="AD231" s="372"/>
      <c r="AE231" s="372"/>
      <c r="AF231" s="580" t="s">
        <v>1234</v>
      </c>
      <c r="AG231" s="955">
        <v>750000</v>
      </c>
      <c r="AH231" s="372">
        <f>AG231*60</f>
        <v>45000000</v>
      </c>
      <c r="AI231" s="372">
        <f t="shared" si="35"/>
        <v>50000000</v>
      </c>
      <c r="AJ231" s="372">
        <f t="shared" si="36"/>
        <v>75000000</v>
      </c>
      <c r="AK231" s="340">
        <v>15000000</v>
      </c>
      <c r="AL231" s="963">
        <v>120000000</v>
      </c>
      <c r="AM231" s="368" t="s">
        <v>1208</v>
      </c>
      <c r="AN231" s="372"/>
      <c r="AO231" s="341">
        <v>353505181</v>
      </c>
      <c r="AP231" s="386"/>
      <c r="AQ231" s="386"/>
      <c r="AR231" s="386"/>
    </row>
    <row r="232" spans="1:46">
      <c r="A232" s="217">
        <v>2021</v>
      </c>
      <c r="B232" s="339" t="s">
        <v>2862</v>
      </c>
      <c r="C232" s="338" t="s">
        <v>638</v>
      </c>
      <c r="D232" s="336"/>
      <c r="E232" s="339"/>
      <c r="F232" s="336"/>
      <c r="G232" s="336"/>
      <c r="H232" s="336"/>
      <c r="I232" s="336"/>
      <c r="J232" s="336"/>
      <c r="K232" s="338" t="s">
        <v>319</v>
      </c>
      <c r="L232" s="338">
        <v>42</v>
      </c>
      <c r="N232" s="368"/>
      <c r="Q232" s="370"/>
      <c r="R232" s="370"/>
      <c r="S232" s="370"/>
      <c r="T232" s="370"/>
      <c r="U232" s="953">
        <v>25000000</v>
      </c>
      <c r="V232" s="953">
        <f>U232*11</f>
        <v>275000000</v>
      </c>
      <c r="W232" s="580">
        <v>19000000</v>
      </c>
      <c r="X232" s="580">
        <f t="shared" si="34"/>
        <v>380000000</v>
      </c>
      <c r="Y232" s="351">
        <v>3000000</v>
      </c>
      <c r="Z232" s="340">
        <v>25000000</v>
      </c>
      <c r="AA232" s="372"/>
      <c r="AB232" s="372"/>
      <c r="AC232" s="372"/>
      <c r="AD232" s="372"/>
      <c r="AE232" s="372"/>
      <c r="AF232" s="580" t="s">
        <v>3251</v>
      </c>
      <c r="AG232" s="955">
        <v>1000000</v>
      </c>
      <c r="AH232" s="372">
        <f>AG232*45</f>
        <v>45000000</v>
      </c>
      <c r="AI232" s="372">
        <f t="shared" si="35"/>
        <v>26000000</v>
      </c>
      <c r="AJ232" s="372">
        <f t="shared" si="36"/>
        <v>51000000</v>
      </c>
      <c r="AK232" s="340">
        <v>15000000</v>
      </c>
      <c r="AL232" s="963">
        <v>96000000</v>
      </c>
      <c r="AM232" s="368" t="s">
        <v>1205</v>
      </c>
      <c r="AN232" s="372"/>
      <c r="AO232" s="341">
        <v>423293218</v>
      </c>
      <c r="AP232" s="386"/>
      <c r="AQ232" s="386"/>
      <c r="AR232" s="386"/>
    </row>
    <row r="233" spans="1:46">
      <c r="A233" s="217">
        <v>2021</v>
      </c>
      <c r="B233" s="339" t="s">
        <v>2952</v>
      </c>
      <c r="C233" s="338" t="s">
        <v>26</v>
      </c>
      <c r="D233" s="336"/>
      <c r="E233" s="339"/>
      <c r="F233" s="336"/>
      <c r="G233" s="336"/>
      <c r="H233" s="336"/>
      <c r="I233" s="336"/>
      <c r="J233" s="336"/>
      <c r="K233" s="338" t="s">
        <v>319</v>
      </c>
      <c r="L233" s="338">
        <v>42</v>
      </c>
      <c r="N233" s="368"/>
      <c r="Q233" s="370"/>
      <c r="R233" s="370"/>
      <c r="S233" s="370"/>
      <c r="T233" s="370"/>
      <c r="U233" s="953">
        <v>20300000</v>
      </c>
      <c r="V233" s="953">
        <f t="shared" ref="V233:V239" si="37">U233*20</f>
        <v>406000000</v>
      </c>
      <c r="W233" s="580">
        <v>20000000</v>
      </c>
      <c r="X233" s="580">
        <f t="shared" si="34"/>
        <v>400000000</v>
      </c>
      <c r="Y233" s="351">
        <v>3000000</v>
      </c>
      <c r="Z233" s="340">
        <v>25000000</v>
      </c>
      <c r="AA233" s="372"/>
      <c r="AB233" s="372"/>
      <c r="AC233" s="372"/>
      <c r="AD233" s="372"/>
      <c r="AE233" s="372"/>
      <c r="AF233" s="580" t="s">
        <v>3261</v>
      </c>
      <c r="AG233" s="955" t="s">
        <v>3260</v>
      </c>
      <c r="AH233" s="372">
        <v>21000000</v>
      </c>
      <c r="AI233" s="372">
        <f t="shared" si="35"/>
        <v>52000000</v>
      </c>
      <c r="AJ233" s="372">
        <f t="shared" si="36"/>
        <v>77000000</v>
      </c>
      <c r="AK233" s="340">
        <v>15000000</v>
      </c>
      <c r="AL233" s="963">
        <v>98000000</v>
      </c>
      <c r="AM233" s="368" t="s">
        <v>1208</v>
      </c>
      <c r="AN233" s="372"/>
      <c r="AO233" s="341">
        <v>353505181</v>
      </c>
      <c r="AP233" s="386"/>
      <c r="AQ233" s="386"/>
      <c r="AR233" s="386"/>
    </row>
    <row r="234" spans="1:46">
      <c r="A234" s="217">
        <v>2021</v>
      </c>
      <c r="B234" s="339" t="s">
        <v>2937</v>
      </c>
      <c r="C234" s="338" t="s">
        <v>26</v>
      </c>
      <c r="K234" s="338" t="s">
        <v>319</v>
      </c>
      <c r="L234" s="338">
        <v>42</v>
      </c>
      <c r="U234" s="953">
        <v>20300000</v>
      </c>
      <c r="V234" s="953">
        <f t="shared" si="37"/>
        <v>406000000</v>
      </c>
      <c r="W234" s="580">
        <v>20000000</v>
      </c>
      <c r="X234" s="580">
        <f t="shared" si="34"/>
        <v>400000000</v>
      </c>
      <c r="Y234" s="351">
        <v>3000000</v>
      </c>
      <c r="Z234" s="340">
        <v>25000000</v>
      </c>
      <c r="AA234" s="372"/>
      <c r="AB234" s="372"/>
      <c r="AC234" s="372"/>
      <c r="AD234" s="372"/>
      <c r="AE234" s="372"/>
      <c r="AF234" s="580" t="s">
        <v>1212</v>
      </c>
      <c r="AG234" s="955">
        <v>500000</v>
      </c>
      <c r="AH234" s="372">
        <v>9000000</v>
      </c>
      <c r="AI234" s="372">
        <f t="shared" si="35"/>
        <v>63000000</v>
      </c>
      <c r="AJ234" s="372">
        <f t="shared" si="36"/>
        <v>88000000</v>
      </c>
      <c r="AK234" s="340">
        <v>15000000</v>
      </c>
      <c r="AL234" s="963">
        <v>97000000</v>
      </c>
      <c r="AM234" s="368" t="s">
        <v>1208</v>
      </c>
      <c r="AN234" s="372"/>
      <c r="AO234" s="341">
        <v>353505181</v>
      </c>
      <c r="AP234" s="386"/>
      <c r="AQ234" s="386"/>
      <c r="AR234" s="386"/>
    </row>
    <row r="235" spans="1:46">
      <c r="A235" s="217">
        <v>2021</v>
      </c>
      <c r="B235" s="339" t="s">
        <v>2845</v>
      </c>
      <c r="C235" s="338" t="s">
        <v>19</v>
      </c>
      <c r="K235" s="338" t="s">
        <v>319</v>
      </c>
      <c r="L235" s="338">
        <v>42</v>
      </c>
      <c r="U235" s="953">
        <v>19600000</v>
      </c>
      <c r="V235" s="953">
        <f t="shared" si="37"/>
        <v>392000000</v>
      </c>
      <c r="W235" s="580">
        <v>20000000</v>
      </c>
      <c r="X235" s="580">
        <f t="shared" si="34"/>
        <v>400000000</v>
      </c>
      <c r="Y235" s="351">
        <v>3000000</v>
      </c>
      <c r="Z235" s="340">
        <v>25000000</v>
      </c>
      <c r="AA235" s="372"/>
      <c r="AB235" s="372"/>
      <c r="AC235" s="372"/>
      <c r="AD235" s="372"/>
      <c r="AE235" s="372"/>
      <c r="AF235" s="580" t="s">
        <v>1371</v>
      </c>
      <c r="AG235" s="955"/>
      <c r="AH235" s="372">
        <v>18150000</v>
      </c>
      <c r="AI235" s="372">
        <f t="shared" si="35"/>
        <v>41000000</v>
      </c>
      <c r="AJ235" s="372">
        <f t="shared" si="36"/>
        <v>66000000</v>
      </c>
      <c r="AK235" s="340">
        <v>15000000</v>
      </c>
      <c r="AL235" s="963">
        <v>84150000</v>
      </c>
      <c r="AM235" s="368" t="s">
        <v>1208</v>
      </c>
      <c r="AN235" s="372"/>
      <c r="AO235" s="341">
        <v>353505181</v>
      </c>
      <c r="AP235" s="386"/>
      <c r="AQ235" s="386"/>
      <c r="AR235" s="386"/>
    </row>
    <row r="236" spans="1:46">
      <c r="A236" s="217">
        <v>2021</v>
      </c>
      <c r="B236" s="339" t="s">
        <v>3273</v>
      </c>
      <c r="C236" s="582" t="s">
        <v>12</v>
      </c>
      <c r="K236" s="338" t="s">
        <v>319</v>
      </c>
      <c r="L236" s="338">
        <v>52</v>
      </c>
      <c r="U236" s="960">
        <v>22500000</v>
      </c>
      <c r="V236" s="960">
        <f t="shared" si="37"/>
        <v>450000000</v>
      </c>
      <c r="W236" s="872">
        <v>19000000</v>
      </c>
      <c r="X236" s="872">
        <f t="shared" si="34"/>
        <v>380000000</v>
      </c>
      <c r="Y236" s="351">
        <v>3000000</v>
      </c>
      <c r="Z236" s="340">
        <v>25000000</v>
      </c>
      <c r="AF236" s="872" t="s">
        <v>1201</v>
      </c>
      <c r="AG236" s="959">
        <v>400000</v>
      </c>
      <c r="AH236" s="874">
        <f>AG236*38</f>
        <v>15200000</v>
      </c>
      <c r="AI236" s="372">
        <f t="shared" si="35"/>
        <v>59300000</v>
      </c>
      <c r="AJ236" s="372">
        <f t="shared" si="36"/>
        <v>84300000</v>
      </c>
      <c r="AK236" s="340">
        <v>15000000</v>
      </c>
      <c r="AL236" s="964">
        <v>99500000</v>
      </c>
      <c r="AM236" s="368" t="s">
        <v>1205</v>
      </c>
      <c r="AO236" s="341">
        <v>423293218</v>
      </c>
    </row>
    <row r="237" spans="1:46">
      <c r="A237" s="217">
        <v>2021</v>
      </c>
      <c r="B237" s="339" t="s">
        <v>2860</v>
      </c>
      <c r="C237" s="582" t="s">
        <v>659</v>
      </c>
      <c r="K237" s="338" t="s">
        <v>319</v>
      </c>
      <c r="L237" s="338">
        <v>42</v>
      </c>
      <c r="U237" s="960">
        <v>22000000</v>
      </c>
      <c r="V237" s="960">
        <f t="shared" si="37"/>
        <v>440000000</v>
      </c>
      <c r="W237" s="872">
        <v>20000000</v>
      </c>
      <c r="X237" s="872">
        <f t="shared" si="34"/>
        <v>400000000</v>
      </c>
      <c r="Y237" s="351">
        <v>3000000</v>
      </c>
      <c r="Z237" s="340">
        <v>25000000</v>
      </c>
      <c r="AF237" s="872" t="s">
        <v>1329</v>
      </c>
      <c r="AG237" s="959">
        <v>500000</v>
      </c>
      <c r="AH237" s="874">
        <v>20000000</v>
      </c>
      <c r="AI237" s="372">
        <f t="shared" si="35"/>
        <v>54000000</v>
      </c>
      <c r="AJ237" s="372">
        <f t="shared" si="36"/>
        <v>79000000</v>
      </c>
      <c r="AK237" s="340">
        <v>15000000</v>
      </c>
      <c r="AL237" s="964">
        <v>99000000</v>
      </c>
      <c r="AM237" s="368" t="s">
        <v>1208</v>
      </c>
      <c r="AO237" s="341">
        <v>353505181</v>
      </c>
    </row>
    <row r="238" spans="1:46">
      <c r="A238" s="217">
        <v>2021</v>
      </c>
      <c r="B238" s="339" t="s">
        <v>2683</v>
      </c>
      <c r="C238" s="582" t="s">
        <v>2702</v>
      </c>
      <c r="K238" s="338" t="s">
        <v>319</v>
      </c>
      <c r="L238" s="338">
        <v>42</v>
      </c>
      <c r="U238" s="960">
        <v>21179826</v>
      </c>
      <c r="V238" s="960">
        <f t="shared" si="37"/>
        <v>423596520</v>
      </c>
      <c r="W238" s="872">
        <v>20000000</v>
      </c>
      <c r="X238" s="872">
        <f t="shared" si="34"/>
        <v>400000000</v>
      </c>
      <c r="Y238" s="351">
        <v>3000000</v>
      </c>
      <c r="Z238" s="340">
        <v>25000000</v>
      </c>
      <c r="AF238" s="872" t="s">
        <v>1248</v>
      </c>
      <c r="AH238" s="874">
        <v>17500000</v>
      </c>
      <c r="AI238" s="874">
        <f t="shared" si="35"/>
        <v>44500000</v>
      </c>
      <c r="AJ238" s="874">
        <f t="shared" si="36"/>
        <v>69500000</v>
      </c>
      <c r="AK238" s="340">
        <v>15000000</v>
      </c>
      <c r="AL238" s="964">
        <v>87000000</v>
      </c>
      <c r="AM238" s="368" t="s">
        <v>1208</v>
      </c>
      <c r="AO238" s="341">
        <v>353505181</v>
      </c>
    </row>
    <row r="239" spans="1:46">
      <c r="A239" s="217">
        <v>2021</v>
      </c>
      <c r="B239" s="339" t="s">
        <v>3281</v>
      </c>
      <c r="C239" s="338" t="s">
        <v>12</v>
      </c>
      <c r="K239" s="338" t="s">
        <v>319</v>
      </c>
      <c r="L239" s="338">
        <v>62</v>
      </c>
      <c r="U239" s="960">
        <v>22500000</v>
      </c>
      <c r="V239" s="960">
        <f t="shared" si="37"/>
        <v>450000000</v>
      </c>
      <c r="W239" s="872">
        <v>17500000</v>
      </c>
      <c r="X239" s="872">
        <f t="shared" si="34"/>
        <v>350000000</v>
      </c>
      <c r="Y239" s="351">
        <v>3000000</v>
      </c>
      <c r="Z239" s="340">
        <v>25000000</v>
      </c>
      <c r="AF239" s="872" t="s">
        <v>1278</v>
      </c>
      <c r="AH239" s="874">
        <v>13500000</v>
      </c>
      <c r="AI239" s="874">
        <f t="shared" ref="AI239:AI244" si="38">AJ239-Z239</f>
        <v>53500000</v>
      </c>
      <c r="AJ239" s="874">
        <f t="shared" ref="AJ239:AJ244" si="39">AL239-AH239</f>
        <v>78500000</v>
      </c>
      <c r="AK239" s="340">
        <v>15000000</v>
      </c>
      <c r="AL239" s="964">
        <v>92000000</v>
      </c>
      <c r="AM239" s="368" t="s">
        <v>2192</v>
      </c>
      <c r="AO239" s="341">
        <v>527299431</v>
      </c>
    </row>
    <row r="240" spans="1:46">
      <c r="A240" s="217">
        <v>2021</v>
      </c>
      <c r="B240" s="339" t="s">
        <v>2929</v>
      </c>
      <c r="C240" s="338" t="s">
        <v>638</v>
      </c>
      <c r="K240" s="338" t="s">
        <v>319</v>
      </c>
      <c r="L240" s="338">
        <v>42</v>
      </c>
      <c r="U240" s="953">
        <v>25000000</v>
      </c>
      <c r="V240" s="953">
        <f>U240*11</f>
        <v>275000000</v>
      </c>
      <c r="W240" s="872">
        <v>25000000</v>
      </c>
      <c r="X240" s="872">
        <f t="shared" si="34"/>
        <v>500000000</v>
      </c>
      <c r="Y240" s="351">
        <v>3000000</v>
      </c>
      <c r="Z240" s="340">
        <v>25000000</v>
      </c>
      <c r="AF240" s="872" t="s">
        <v>1240</v>
      </c>
      <c r="AH240" s="874">
        <v>18000000</v>
      </c>
      <c r="AI240" s="874">
        <f t="shared" si="38"/>
        <v>36000000</v>
      </c>
      <c r="AJ240" s="874">
        <f t="shared" si="39"/>
        <v>61000000</v>
      </c>
      <c r="AK240" s="340">
        <v>15000000</v>
      </c>
      <c r="AL240" s="964">
        <v>79000000</v>
      </c>
      <c r="AM240" s="368" t="s">
        <v>1208</v>
      </c>
      <c r="AO240" s="341">
        <v>353505181</v>
      </c>
    </row>
    <row r="241" spans="2:41">
      <c r="B241" s="339" t="s">
        <v>2886</v>
      </c>
      <c r="C241" s="338" t="s">
        <v>26</v>
      </c>
      <c r="K241" s="338" t="s">
        <v>319</v>
      </c>
      <c r="L241" s="338">
        <v>42</v>
      </c>
      <c r="U241" s="953">
        <v>20300000</v>
      </c>
      <c r="V241" s="953">
        <f>U241*20</f>
        <v>406000000</v>
      </c>
      <c r="W241" s="872">
        <v>20000000</v>
      </c>
      <c r="X241" s="872">
        <f t="shared" si="34"/>
        <v>400000000</v>
      </c>
      <c r="Y241" s="351">
        <v>3000000</v>
      </c>
      <c r="Z241" s="340">
        <v>25000000</v>
      </c>
      <c r="AF241" s="872" t="s">
        <v>2705</v>
      </c>
      <c r="AG241" s="959" t="s">
        <v>2895</v>
      </c>
      <c r="AH241" s="874">
        <v>19500000</v>
      </c>
      <c r="AI241" s="874">
        <f t="shared" si="38"/>
        <v>51500000</v>
      </c>
      <c r="AJ241" s="874">
        <f t="shared" si="39"/>
        <v>76500000</v>
      </c>
      <c r="AK241" s="340">
        <v>15000000</v>
      </c>
      <c r="AL241" s="964">
        <v>96000000</v>
      </c>
      <c r="AM241" s="368" t="s">
        <v>1208</v>
      </c>
      <c r="AO241" s="341">
        <v>353505181</v>
      </c>
    </row>
    <row r="242" spans="2:41">
      <c r="B242" s="339" t="s">
        <v>3162</v>
      </c>
      <c r="C242" s="338" t="s">
        <v>638</v>
      </c>
      <c r="K242" s="338" t="s">
        <v>319</v>
      </c>
      <c r="L242" s="338">
        <v>52</v>
      </c>
      <c r="U242" s="953">
        <v>25000000</v>
      </c>
      <c r="V242" s="953">
        <f>U242*11</f>
        <v>275000000</v>
      </c>
      <c r="W242" s="872">
        <v>20000000</v>
      </c>
      <c r="X242" s="872">
        <f>W242*20</f>
        <v>400000000</v>
      </c>
      <c r="Y242" s="351">
        <v>3000000</v>
      </c>
      <c r="Z242" s="340">
        <v>25000000</v>
      </c>
      <c r="AF242" s="872" t="s">
        <v>2289</v>
      </c>
      <c r="AH242" s="874">
        <v>28000000</v>
      </c>
      <c r="AI242" s="874">
        <f t="shared" si="38"/>
        <v>57000000</v>
      </c>
      <c r="AJ242" s="874">
        <f t="shared" si="39"/>
        <v>82000000</v>
      </c>
      <c r="AK242" s="340">
        <v>15000000</v>
      </c>
      <c r="AL242" s="964">
        <v>110000000</v>
      </c>
      <c r="AM242" s="368" t="s">
        <v>1205</v>
      </c>
      <c r="AO242" s="341">
        <v>423293218</v>
      </c>
    </row>
    <row r="243" spans="2:41">
      <c r="B243" s="339" t="s">
        <v>2933</v>
      </c>
      <c r="C243" s="338" t="s">
        <v>638</v>
      </c>
      <c r="K243" s="338" t="s">
        <v>319</v>
      </c>
      <c r="L243" s="338">
        <v>42</v>
      </c>
      <c r="U243" s="953">
        <v>25000000</v>
      </c>
      <c r="V243" s="953">
        <f>U243*11</f>
        <v>275000000</v>
      </c>
      <c r="W243" s="872">
        <v>25000000</v>
      </c>
      <c r="X243" s="872">
        <f>W243*10</f>
        <v>250000000</v>
      </c>
      <c r="Y243" s="351">
        <v>3000000</v>
      </c>
      <c r="Z243" s="340">
        <v>25000000</v>
      </c>
      <c r="AF243" s="872" t="s">
        <v>1222</v>
      </c>
      <c r="AG243" s="959">
        <v>500000</v>
      </c>
      <c r="AH243" s="874">
        <v>11500000</v>
      </c>
      <c r="AI243" s="874">
        <f t="shared" si="38"/>
        <v>41000000</v>
      </c>
      <c r="AJ243" s="874">
        <f t="shared" si="39"/>
        <v>66000000</v>
      </c>
      <c r="AK243" s="340">
        <v>15000000</v>
      </c>
      <c r="AL243" s="964">
        <v>77500000</v>
      </c>
      <c r="AM243" s="368" t="s">
        <v>1208</v>
      </c>
      <c r="AO243" s="341">
        <v>353505181</v>
      </c>
    </row>
    <row r="244" spans="2:41">
      <c r="B244" s="339" t="s">
        <v>2507</v>
      </c>
      <c r="C244" s="338" t="s">
        <v>19</v>
      </c>
      <c r="K244" s="338" t="s">
        <v>319</v>
      </c>
      <c r="L244" s="338">
        <v>42</v>
      </c>
      <c r="U244" s="953">
        <v>19600000</v>
      </c>
      <c r="V244" s="953">
        <f>U244*20</f>
        <v>392000000</v>
      </c>
      <c r="W244" s="872">
        <v>25000000</v>
      </c>
      <c r="X244" s="872">
        <f>W244*20</f>
        <v>500000000</v>
      </c>
      <c r="Y244" s="351">
        <v>3000000</v>
      </c>
      <c r="Z244" s="340">
        <v>25000000</v>
      </c>
      <c r="AF244" s="874" t="s">
        <v>1276</v>
      </c>
      <c r="AH244" s="874">
        <v>8750000</v>
      </c>
      <c r="AI244" s="874">
        <f t="shared" si="38"/>
        <v>44500000</v>
      </c>
      <c r="AJ244" s="874">
        <f t="shared" si="39"/>
        <v>69500000</v>
      </c>
      <c r="AK244" s="340">
        <v>15000000</v>
      </c>
      <c r="AL244" s="964">
        <v>78250000</v>
      </c>
      <c r="AM244" s="368" t="s">
        <v>1208</v>
      </c>
      <c r="AO244" s="341">
        <v>353505181</v>
      </c>
    </row>
    <row r="245" spans="2:41">
      <c r="B245" s="339" t="s">
        <v>907</v>
      </c>
      <c r="C245" s="336" t="s">
        <v>21</v>
      </c>
      <c r="K245" s="338" t="s">
        <v>1196</v>
      </c>
      <c r="L245" s="338">
        <v>42</v>
      </c>
      <c r="U245" s="960">
        <v>23500000</v>
      </c>
      <c r="V245" s="953">
        <f>U245*20</f>
        <v>470000000</v>
      </c>
      <c r="W245" s="872">
        <v>25000000</v>
      </c>
      <c r="X245" s="872">
        <f>W245*20</f>
        <v>500000000</v>
      </c>
      <c r="Y245" s="351">
        <v>3000000</v>
      </c>
      <c r="Z245" s="340">
        <v>25000000</v>
      </c>
      <c r="AF245" s="872" t="s">
        <v>1197</v>
      </c>
      <c r="AG245" s="959">
        <v>1000000</v>
      </c>
      <c r="AH245" s="874">
        <f>AG245*25</f>
        <v>25000000</v>
      </c>
      <c r="AI245" s="874">
        <f>AJ245-Z245</f>
        <v>49500000</v>
      </c>
      <c r="AJ245" s="874">
        <f>AL245-AH245</f>
        <v>74500000</v>
      </c>
      <c r="AK245" s="340">
        <v>15000000</v>
      </c>
      <c r="AL245" s="964">
        <v>99500000</v>
      </c>
      <c r="AM245" s="368" t="s">
        <v>1208</v>
      </c>
      <c r="AO245" s="341">
        <v>353505181</v>
      </c>
    </row>
    <row r="246" spans="2:41">
      <c r="B246" s="339" t="s">
        <v>3026</v>
      </c>
      <c r="C246" s="338" t="s">
        <v>26</v>
      </c>
      <c r="K246" s="338" t="s">
        <v>319</v>
      </c>
      <c r="L246" s="338">
        <v>52</v>
      </c>
      <c r="U246" s="953">
        <v>20300000</v>
      </c>
      <c r="V246" s="953">
        <f>U246*20</f>
        <v>406000000</v>
      </c>
      <c r="W246" s="872">
        <v>20000000</v>
      </c>
      <c r="X246" s="872">
        <f>W246*20</f>
        <v>400000000</v>
      </c>
      <c r="Y246" s="351">
        <v>3000000</v>
      </c>
      <c r="Z246" s="340">
        <v>25000000</v>
      </c>
      <c r="AF246" s="874" t="s">
        <v>1276</v>
      </c>
      <c r="AG246" s="959" t="s">
        <v>3322</v>
      </c>
      <c r="AH246" s="874">
        <v>21000000</v>
      </c>
      <c r="AI246" s="874">
        <f>AJ246-Z246</f>
        <v>52000000</v>
      </c>
      <c r="AJ246" s="874">
        <f>AL246-AH246</f>
        <v>77000000</v>
      </c>
      <c r="AK246" s="340">
        <v>15000000</v>
      </c>
      <c r="AL246" s="964">
        <v>98000000</v>
      </c>
      <c r="AM246" s="368" t="s">
        <v>1205</v>
      </c>
      <c r="AO246" s="341">
        <v>423293218</v>
      </c>
    </row>
    <row r="247" spans="2:41">
      <c r="B247" s="339" t="s">
        <v>2837</v>
      </c>
      <c r="C247" s="338" t="s">
        <v>19</v>
      </c>
      <c r="K247" s="338" t="s">
        <v>319</v>
      </c>
      <c r="L247" s="338">
        <v>52</v>
      </c>
      <c r="U247" s="953">
        <v>20300000</v>
      </c>
      <c r="V247" s="953">
        <f>U247*20</f>
        <v>406000000</v>
      </c>
      <c r="W247" s="872">
        <v>15000000</v>
      </c>
      <c r="X247" s="872">
        <f>W247*20</f>
        <v>300000000</v>
      </c>
      <c r="Y247" s="351">
        <v>3000000</v>
      </c>
      <c r="Z247" s="340">
        <v>25000000</v>
      </c>
      <c r="AF247" s="872" t="s">
        <v>3346</v>
      </c>
      <c r="AG247" s="959" t="s">
        <v>3347</v>
      </c>
      <c r="AH247" s="874">
        <v>36250000</v>
      </c>
      <c r="AI247" s="874">
        <f>AJ247-Z247</f>
        <v>37750000</v>
      </c>
      <c r="AJ247" s="874">
        <f>AL247-AH247</f>
        <v>62750000</v>
      </c>
      <c r="AK247" s="340">
        <v>15000000</v>
      </c>
      <c r="AL247" s="964">
        <v>99000000</v>
      </c>
      <c r="AM247" s="368" t="s">
        <v>1205</v>
      </c>
      <c r="AO247" s="341">
        <v>423293218</v>
      </c>
    </row>
    <row r="248" spans="2:41">
      <c r="B248" s="339" t="s">
        <v>3029</v>
      </c>
      <c r="C248" s="338" t="s">
        <v>19</v>
      </c>
      <c r="K248" s="338" t="s">
        <v>319</v>
      </c>
      <c r="L248" s="338">
        <v>32</v>
      </c>
      <c r="U248" s="953">
        <v>19600000</v>
      </c>
      <c r="V248" s="953">
        <f>U248*20</f>
        <v>392000000</v>
      </c>
      <c r="W248" s="872">
        <v>25000000</v>
      </c>
      <c r="X248" s="872">
        <f>W248*20</f>
        <v>500000000</v>
      </c>
      <c r="Y248" s="351">
        <v>3000000</v>
      </c>
      <c r="Z248" s="340">
        <v>25000000</v>
      </c>
      <c r="AF248" s="872" t="s">
        <v>1197</v>
      </c>
      <c r="AG248" s="959">
        <v>500000</v>
      </c>
      <c r="AH248" s="874">
        <f>AG248*25</f>
        <v>12500000</v>
      </c>
      <c r="AI248" s="874">
        <f>AJ248-Z248</f>
        <v>62000000</v>
      </c>
      <c r="AJ248" s="874">
        <f>AL248-AH248</f>
        <v>87000000</v>
      </c>
      <c r="AK248" s="340">
        <v>15000000</v>
      </c>
      <c r="AL248" s="964">
        <v>99500000</v>
      </c>
      <c r="AM248" s="874" t="s">
        <v>1215</v>
      </c>
      <c r="AO248" s="341">
        <v>336315892</v>
      </c>
    </row>
    <row r="249" spans="2:41">
      <c r="B249" s="870" t="s">
        <v>2868</v>
      </c>
      <c r="C249" s="338" t="s">
        <v>35</v>
      </c>
      <c r="K249" s="338" t="s">
        <v>1118</v>
      </c>
      <c r="L249" s="338">
        <v>25</v>
      </c>
      <c r="U249" s="953">
        <v>18750000</v>
      </c>
      <c r="V249" s="953">
        <f>U249*11</f>
        <v>206250000</v>
      </c>
      <c r="W249" s="872">
        <v>20000000</v>
      </c>
      <c r="X249" s="872">
        <f>W249*3</f>
        <v>60000000</v>
      </c>
      <c r="Y249" s="351" t="s">
        <v>1761</v>
      </c>
      <c r="Z249" s="351" t="s">
        <v>1761</v>
      </c>
      <c r="AF249" s="369" t="s">
        <v>1761</v>
      </c>
      <c r="AG249" s="958" t="s">
        <v>1761</v>
      </c>
      <c r="AH249" s="369" t="s">
        <v>1761</v>
      </c>
      <c r="AI249" s="369" t="s">
        <v>1761</v>
      </c>
      <c r="AJ249" s="369" t="s">
        <v>1761</v>
      </c>
      <c r="AK249" s="340"/>
      <c r="AL249" s="961"/>
      <c r="AM249" s="368" t="s">
        <v>1382</v>
      </c>
      <c r="AO249" s="341" t="s">
        <v>1761</v>
      </c>
    </row>
    <row r="250" spans="2:41">
      <c r="B250" s="588" t="s">
        <v>2927</v>
      </c>
      <c r="C250" s="338" t="s">
        <v>638</v>
      </c>
      <c r="K250" s="338" t="s">
        <v>319</v>
      </c>
      <c r="L250" s="338">
        <v>42</v>
      </c>
      <c r="U250" s="953">
        <v>25000000</v>
      </c>
      <c r="V250" s="953">
        <f>U250*11</f>
        <v>275000000</v>
      </c>
      <c r="W250" s="872">
        <v>25000000</v>
      </c>
      <c r="X250" s="872">
        <f>W250*10</f>
        <v>250000000</v>
      </c>
      <c r="Y250" s="351">
        <v>3000000</v>
      </c>
      <c r="Z250" s="340">
        <v>25000000</v>
      </c>
      <c r="AF250" s="872" t="s">
        <v>1261</v>
      </c>
      <c r="AG250" s="959">
        <v>500000</v>
      </c>
      <c r="AH250" s="874">
        <v>12000000</v>
      </c>
      <c r="AI250" s="874">
        <f>AJ250-Z250</f>
        <v>62000000</v>
      </c>
      <c r="AJ250" s="874">
        <f>AL250-AH250</f>
        <v>87000000</v>
      </c>
      <c r="AK250" s="340">
        <v>15000000</v>
      </c>
      <c r="AL250" s="964">
        <v>99000000</v>
      </c>
      <c r="AM250" s="368" t="s">
        <v>1208</v>
      </c>
      <c r="AO250" s="341">
        <v>353505181</v>
      </c>
    </row>
    <row r="251" spans="2:41">
      <c r="B251" s="598" t="s">
        <v>3255</v>
      </c>
      <c r="C251" s="338" t="s">
        <v>12</v>
      </c>
      <c r="K251" s="338" t="s">
        <v>319</v>
      </c>
      <c r="L251" s="338">
        <v>62</v>
      </c>
      <c r="U251" s="960">
        <v>22500000</v>
      </c>
      <c r="V251" s="960">
        <f>U251*20</f>
        <v>450000000</v>
      </c>
      <c r="W251" s="872">
        <v>17500000</v>
      </c>
      <c r="X251" s="872">
        <f>W251*20</f>
        <v>350000000</v>
      </c>
      <c r="Y251" s="351">
        <v>3000000</v>
      </c>
      <c r="Z251" s="340">
        <v>25000000</v>
      </c>
      <c r="AF251" s="872" t="s">
        <v>1197</v>
      </c>
      <c r="AG251" s="959" t="s">
        <v>3390</v>
      </c>
      <c r="AH251" s="874">
        <v>28000000</v>
      </c>
      <c r="AI251" s="874">
        <f>AJ251-Z251</f>
        <v>46000000</v>
      </c>
      <c r="AJ251" s="874">
        <f>AL251-AH251</f>
        <v>71000000</v>
      </c>
      <c r="AK251" s="340">
        <v>15000000</v>
      </c>
      <c r="AL251" s="964">
        <v>99000000</v>
      </c>
      <c r="AM251" s="368" t="s">
        <v>2192</v>
      </c>
      <c r="AO251" s="341">
        <v>527299431</v>
      </c>
    </row>
    <row r="252" spans="2:41">
      <c r="B252" s="339" t="s">
        <v>3364</v>
      </c>
      <c r="C252" s="338" t="s">
        <v>12</v>
      </c>
      <c r="K252" s="338" t="s">
        <v>319</v>
      </c>
      <c r="L252" s="338">
        <v>62</v>
      </c>
      <c r="U252" s="960">
        <v>22500000</v>
      </c>
      <c r="V252" s="960">
        <f>U252*20</f>
        <v>450000000</v>
      </c>
      <c r="W252" s="872">
        <v>18000000</v>
      </c>
      <c r="X252" s="872">
        <f>W252*20</f>
        <v>360000000</v>
      </c>
      <c r="Y252" s="351">
        <v>3000000</v>
      </c>
      <c r="Z252" s="340">
        <v>25000000</v>
      </c>
      <c r="AF252" s="872" t="s">
        <v>1274</v>
      </c>
      <c r="AG252" s="959">
        <v>500000</v>
      </c>
      <c r="AH252" s="874">
        <f>AG252*32</f>
        <v>16000000</v>
      </c>
      <c r="AI252" s="874">
        <f>AJ252-Z252</f>
        <v>55000000</v>
      </c>
      <c r="AJ252" s="874">
        <f>AL252-AH252</f>
        <v>80000000</v>
      </c>
      <c r="AK252" s="340">
        <v>15000000</v>
      </c>
      <c r="AL252" s="964">
        <v>96000000</v>
      </c>
      <c r="AM252" s="368" t="s">
        <v>2192</v>
      </c>
      <c r="AO252" s="341">
        <v>527299431</v>
      </c>
    </row>
    <row r="253" spans="2:41">
      <c r="B253" s="339" t="s">
        <v>3367</v>
      </c>
      <c r="C253" s="338" t="s">
        <v>772</v>
      </c>
      <c r="K253" s="338" t="s">
        <v>319</v>
      </c>
      <c r="L253" s="338">
        <v>52</v>
      </c>
      <c r="U253" s="953">
        <v>17000000</v>
      </c>
      <c r="V253" s="953">
        <f>U253*20</f>
        <v>340000000</v>
      </c>
      <c r="W253" s="872">
        <v>18000000</v>
      </c>
      <c r="X253" s="872">
        <f>W253*20</f>
        <v>360000000</v>
      </c>
      <c r="Y253" s="351">
        <v>3000000</v>
      </c>
      <c r="Z253" s="340">
        <v>25000000</v>
      </c>
      <c r="AF253" s="872" t="s">
        <v>1204</v>
      </c>
      <c r="AG253" s="959">
        <v>500000</v>
      </c>
      <c r="AH253" s="874">
        <f>17*AG253</f>
        <v>8500000</v>
      </c>
      <c r="AI253" s="874">
        <f>AJ253-Z253</f>
        <v>64500000</v>
      </c>
      <c r="AJ253" s="874">
        <f>AL253-AH253</f>
        <v>89500000</v>
      </c>
      <c r="AK253" s="340">
        <v>15000000</v>
      </c>
      <c r="AL253" s="964">
        <v>98000000</v>
      </c>
      <c r="AM253" s="368" t="s">
        <v>1205</v>
      </c>
      <c r="AO253" s="341">
        <v>423293218</v>
      </c>
    </row>
    <row r="254" spans="2:41" ht="36.75">
      <c r="B254" s="339" t="s">
        <v>3485</v>
      </c>
      <c r="C254" s="338" t="s">
        <v>638</v>
      </c>
      <c r="K254" s="338" t="s">
        <v>319</v>
      </c>
      <c r="L254" s="338">
        <v>42</v>
      </c>
      <c r="U254" s="953"/>
      <c r="V254" s="953"/>
      <c r="W254" s="872">
        <v>30000000</v>
      </c>
      <c r="X254" s="872">
        <f>30000000*11</f>
        <v>330000000</v>
      </c>
      <c r="Y254" s="873">
        <v>3000000</v>
      </c>
      <c r="Z254" s="873">
        <v>25000000</v>
      </c>
      <c r="AF254" s="951" t="s">
        <v>3488</v>
      </c>
      <c r="AG254" s="959" t="s">
        <v>3486</v>
      </c>
      <c r="AH254" s="874">
        <v>16500000</v>
      </c>
      <c r="AI254" s="874">
        <f>AJ254-Z254</f>
        <v>53500000</v>
      </c>
      <c r="AJ254" s="874">
        <f>AL254-AH254</f>
        <v>78500000</v>
      </c>
      <c r="AK254" s="875">
        <v>15000000</v>
      </c>
      <c r="AL254" s="964">
        <v>95000000</v>
      </c>
      <c r="AM254" s="874" t="s">
        <v>1208</v>
      </c>
      <c r="AO254" s="874">
        <v>353505181</v>
      </c>
    </row>
  </sheetData>
  <autoFilter ref="A7:AV251" xr:uid="{00000000-0009-0000-0000-000007000000}"/>
  <mergeCells count="3">
    <mergeCell ref="U1:X1"/>
    <mergeCell ref="Y1:AA1"/>
    <mergeCell ref="AB1:AJ1"/>
  </mergeCells>
  <conditionalFormatting sqref="E230:E1048576 E191:E192 E1:E6 E173:E184 E194:E228 E186:E189">
    <cfRule type="duplicateValues" dxfId="145" priority="12"/>
  </conditionalFormatting>
  <conditionalFormatting sqref="B168">
    <cfRule type="duplicateValues" dxfId="144" priority="11"/>
  </conditionalFormatting>
  <conditionalFormatting sqref="B197:B205">
    <cfRule type="duplicateValues" dxfId="143" priority="13"/>
  </conditionalFormatting>
  <conditionalFormatting sqref="B135:B136">
    <cfRule type="duplicateValues" dxfId="142" priority="10"/>
  </conditionalFormatting>
  <conditionalFormatting sqref="B174">
    <cfRule type="duplicateValues" dxfId="141" priority="9"/>
  </conditionalFormatting>
  <conditionalFormatting sqref="B221">
    <cfRule type="duplicateValues" dxfId="140" priority="8"/>
  </conditionalFormatting>
  <conditionalFormatting sqref="B222">
    <cfRule type="duplicateValues" dxfId="139" priority="7"/>
  </conditionalFormatting>
  <conditionalFormatting sqref="B223">
    <cfRule type="duplicateValues" dxfId="138" priority="6"/>
  </conditionalFormatting>
  <conditionalFormatting sqref="E229">
    <cfRule type="duplicateValues" dxfId="137" priority="5"/>
  </conditionalFormatting>
  <conditionalFormatting sqref="B230">
    <cfRule type="duplicateValues" dxfId="136" priority="4"/>
  </conditionalFormatting>
  <conditionalFormatting sqref="B249">
    <cfRule type="duplicateValues" dxfId="135" priority="3"/>
  </conditionalFormatting>
  <conditionalFormatting sqref="B250">
    <cfRule type="duplicateValues" dxfId="134" priority="2"/>
  </conditionalFormatting>
  <conditionalFormatting sqref="B251">
    <cfRule type="duplicateValues" dxfId="133" priority="1"/>
  </conditionalFormatting>
  <pageMargins left="0.7" right="0.7" top="0.75" bottom="0.75" header="0.3" footer="0.3"/>
  <pageSetup orientation="portrait" horizontalDpi="4294967292" verticalDpi="200" r:id="rId1"/>
  <legacyDrawing r:id="rId2"/>
  <extLst>
    <ext xmlns:x14="http://schemas.microsoft.com/office/spreadsheetml/2009/9/main" uri="{CCE6A557-97BC-4b89-ADB6-D9C93CAAB3DF}">
      <x14:dataValidations xmlns:xm="http://schemas.microsoft.com/office/excel/2006/main" disablePrompts="1" count="1">
        <x14:dataValidation type="list" allowBlank="1" showInputMessage="1" showErrorMessage="1" xr:uid="{00000000-0002-0000-0700-000000000000}">
          <x14:formula1>
            <xm:f>'C:\Users\555504170021\AppData\Local\Microsoft\Windows\INetCache\Content.Outlook\NWQC2BF1\[Progress Sitac 2019.xlsx]Sheet2'!#REF!</xm:f>
          </x14:formula1>
          <xm:sqref>R190:S190 R229:S229 R193:S193 R7:S172</xm:sqref>
        </x14:dataValidation>
      </x14:dataValidations>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dimension ref="A3:EG203"/>
  <sheetViews>
    <sheetView topLeftCell="I1" workbookViewId="0">
      <selection activeCell="N3" sqref="N3"/>
    </sheetView>
  </sheetViews>
  <sheetFormatPr defaultColWidth="9.140625" defaultRowHeight="15"/>
  <cols>
    <col min="1" max="1" width="20.7109375" style="424" customWidth="1"/>
    <col min="2" max="2" width="15.140625" style="424" customWidth="1"/>
    <col min="3" max="3" width="15" style="424" customWidth="1"/>
    <col min="4" max="7" width="18.7109375" style="424" customWidth="1"/>
    <col min="8" max="10" width="11" style="424" customWidth="1"/>
    <col min="11" max="12" width="16.140625" style="424" customWidth="1"/>
    <col min="13" max="13" width="11" style="424" customWidth="1"/>
    <col min="14" max="14" width="17.140625" style="424" customWidth="1"/>
    <col min="15" max="15" width="18.28515625" style="424" customWidth="1"/>
    <col min="16" max="17" width="11" style="424" customWidth="1"/>
    <col min="18" max="18" width="14.140625" style="424" customWidth="1"/>
    <col min="19" max="19" width="18.7109375" style="424" customWidth="1"/>
    <col min="20" max="43" width="11" style="424" customWidth="1"/>
    <col min="44" max="45" width="10" style="424" customWidth="1"/>
    <col min="46" max="56" width="10" style="424" bestFit="1" customWidth="1"/>
    <col min="57" max="136" width="11" style="424" bestFit="1" customWidth="1"/>
    <col min="137" max="137" width="14" style="424" bestFit="1" customWidth="1"/>
    <col min="138" max="16384" width="9.140625" style="424"/>
  </cols>
  <sheetData>
    <row r="3" spans="1:16">
      <c r="A3" s="431" t="s">
        <v>70</v>
      </c>
      <c r="B3" s="431" t="s">
        <v>2158</v>
      </c>
      <c r="C3" s="444" t="s">
        <v>2141</v>
      </c>
      <c r="D3" s="443" t="s">
        <v>2157</v>
      </c>
      <c r="E3" s="442" t="s">
        <v>2156</v>
      </c>
      <c r="F3" s="442" t="s">
        <v>2155</v>
      </c>
      <c r="G3" s="441" t="s">
        <v>2154</v>
      </c>
      <c r="K3" s="511" t="s">
        <v>2240</v>
      </c>
      <c r="L3" s="511"/>
      <c r="M3" s="511"/>
      <c r="N3" s="512">
        <v>21179826</v>
      </c>
      <c r="O3" s="510" t="s">
        <v>2241</v>
      </c>
    </row>
    <row r="4" spans="1:16">
      <c r="A4" s="424" t="s">
        <v>10</v>
      </c>
      <c r="B4" s="424" t="s">
        <v>2153</v>
      </c>
      <c r="C4" s="439">
        <v>3</v>
      </c>
      <c r="D4" s="438">
        <v>22333333.333333332</v>
      </c>
      <c r="E4" s="437">
        <v>19666666.666666668</v>
      </c>
      <c r="F4" s="437">
        <v>72000000</v>
      </c>
      <c r="G4" s="438">
        <f t="shared" ref="G4:G25" si="0">E4+F4</f>
        <v>91666666.666666672</v>
      </c>
      <c r="K4" s="511" t="s">
        <v>2242</v>
      </c>
      <c r="L4" s="511"/>
      <c r="M4" s="511"/>
      <c r="N4" s="512">
        <v>94483550</v>
      </c>
    </row>
    <row r="5" spans="1:16">
      <c r="B5" s="424" t="s">
        <v>2147</v>
      </c>
      <c r="C5" s="439">
        <v>25</v>
      </c>
      <c r="D5" s="437">
        <v>19740000</v>
      </c>
      <c r="E5" s="437">
        <v>13666666.666666666</v>
      </c>
      <c r="F5" s="438">
        <v>74620833.333333328</v>
      </c>
      <c r="G5" s="437">
        <f t="shared" si="0"/>
        <v>88287500</v>
      </c>
    </row>
    <row r="6" spans="1:16">
      <c r="B6" s="424" t="s">
        <v>2152</v>
      </c>
      <c r="C6" s="439">
        <v>3</v>
      </c>
      <c r="D6" s="437">
        <v>18000000</v>
      </c>
      <c r="E6" s="437">
        <v>9166666.666666666</v>
      </c>
      <c r="F6" s="438">
        <v>75793333.333333328</v>
      </c>
      <c r="G6" s="437">
        <f t="shared" si="0"/>
        <v>84960000</v>
      </c>
    </row>
    <row r="7" spans="1:16">
      <c r="B7" s="424" t="s">
        <v>222</v>
      </c>
      <c r="C7" s="439">
        <v>6</v>
      </c>
      <c r="D7" s="437">
        <v>20000000</v>
      </c>
      <c r="E7" s="438">
        <v>25666666.666666668</v>
      </c>
      <c r="F7" s="438">
        <v>75716666.666666672</v>
      </c>
      <c r="G7" s="438">
        <f t="shared" si="0"/>
        <v>101383333.33333334</v>
      </c>
      <c r="N7" s="425">
        <f>N3*5</f>
        <v>105899130</v>
      </c>
    </row>
    <row r="8" spans="1:16">
      <c r="B8" s="424" t="s">
        <v>169</v>
      </c>
      <c r="C8" s="439">
        <v>1</v>
      </c>
      <c r="D8" s="438">
        <v>40000000</v>
      </c>
      <c r="E8" s="437"/>
      <c r="F8" s="438">
        <v>95000000</v>
      </c>
      <c r="G8" s="438">
        <f t="shared" si="0"/>
        <v>95000000</v>
      </c>
      <c r="H8" s="440" t="s">
        <v>2151</v>
      </c>
      <c r="N8" s="514">
        <f>N7/100</f>
        <v>1058991.3</v>
      </c>
    </row>
    <row r="9" spans="1:16">
      <c r="B9" s="424" t="s">
        <v>1634</v>
      </c>
      <c r="C9" s="439">
        <v>6</v>
      </c>
      <c r="D9" s="437">
        <v>19666666.666666668</v>
      </c>
      <c r="E9" s="437">
        <v>14116666.666666666</v>
      </c>
      <c r="F9" s="438">
        <v>73750000</v>
      </c>
      <c r="G9" s="437">
        <f t="shared" si="0"/>
        <v>87866666.666666672</v>
      </c>
    </row>
    <row r="10" spans="1:16">
      <c r="B10" s="424" t="s">
        <v>520</v>
      </c>
      <c r="C10" s="439">
        <v>12</v>
      </c>
      <c r="D10" s="437">
        <v>19666666.666666668</v>
      </c>
      <c r="E10" s="437">
        <v>12958333.333333334</v>
      </c>
      <c r="F10" s="438">
        <v>74416666.666666672</v>
      </c>
      <c r="G10" s="437">
        <f t="shared" si="0"/>
        <v>87375000</v>
      </c>
      <c r="N10" s="515">
        <v>85000000</v>
      </c>
      <c r="O10" s="515">
        <f>N10*5%</f>
        <v>4250000</v>
      </c>
    </row>
    <row r="11" spans="1:16">
      <c r="B11" s="424" t="s">
        <v>2150</v>
      </c>
      <c r="C11" s="439">
        <v>2</v>
      </c>
      <c r="D11" s="437">
        <v>20000000</v>
      </c>
      <c r="E11" s="438">
        <v>27000000</v>
      </c>
      <c r="F11" s="437">
        <v>71750000</v>
      </c>
      <c r="G11" s="438">
        <f t="shared" si="0"/>
        <v>98750000</v>
      </c>
      <c r="N11" s="515">
        <f>N10+O10</f>
        <v>89250000</v>
      </c>
      <c r="O11" s="515">
        <f>N11*5%</f>
        <v>4462500</v>
      </c>
    </row>
    <row r="12" spans="1:16">
      <c r="B12" s="424" t="s">
        <v>2145</v>
      </c>
      <c r="C12" s="439">
        <v>1</v>
      </c>
      <c r="D12" s="437">
        <v>19000000</v>
      </c>
      <c r="E12" s="438">
        <v>24500000</v>
      </c>
      <c r="F12" s="437">
        <v>72000000</v>
      </c>
      <c r="G12" s="438">
        <f t="shared" si="0"/>
        <v>96500000</v>
      </c>
      <c r="N12" s="515">
        <f>N11+O11</f>
        <v>93712500</v>
      </c>
      <c r="O12" s="515">
        <f>N12*5%</f>
        <v>4685625</v>
      </c>
    </row>
    <row r="13" spans="1:16">
      <c r="B13" s="424" t="s">
        <v>2143</v>
      </c>
      <c r="C13" s="439">
        <v>3</v>
      </c>
      <c r="D13" s="438">
        <v>22166666.666666668</v>
      </c>
      <c r="E13" s="438">
        <v>34333333.333333336</v>
      </c>
      <c r="F13" s="437">
        <v>61666666.666666664</v>
      </c>
      <c r="G13" s="438">
        <f t="shared" si="0"/>
        <v>96000000</v>
      </c>
      <c r="N13" s="515">
        <f>N12+O12</f>
        <v>98398125</v>
      </c>
    </row>
    <row r="14" spans="1:16">
      <c r="B14" s="424" t="s">
        <v>594</v>
      </c>
      <c r="C14" s="439">
        <v>1</v>
      </c>
      <c r="D14" s="437">
        <v>20000000</v>
      </c>
      <c r="E14" s="438">
        <v>22500000</v>
      </c>
      <c r="F14" s="437">
        <v>71500000</v>
      </c>
      <c r="G14" s="438">
        <f t="shared" si="0"/>
        <v>94000000</v>
      </c>
      <c r="N14" s="515">
        <f>SUM(N10:N13)</f>
        <v>366360625</v>
      </c>
      <c r="O14" s="516">
        <f>N14/20</f>
        <v>18318031.25</v>
      </c>
    </row>
    <row r="15" spans="1:16">
      <c r="B15" s="424" t="s">
        <v>221</v>
      </c>
      <c r="C15" s="439">
        <v>12</v>
      </c>
      <c r="D15" s="437">
        <v>19666666.666666668</v>
      </c>
      <c r="E15" s="438">
        <v>24137500</v>
      </c>
      <c r="F15" s="437">
        <v>71958333.333333328</v>
      </c>
      <c r="G15" s="438">
        <f>E15+F15</f>
        <v>96095833.333333328</v>
      </c>
    </row>
    <row r="16" spans="1:16">
      <c r="A16" s="436" t="s">
        <v>2149</v>
      </c>
      <c r="B16" s="436"/>
      <c r="C16" s="435">
        <v>75</v>
      </c>
      <c r="D16" s="434">
        <v>20133333.333333332</v>
      </c>
      <c r="E16" s="433">
        <v>17840410.95890411</v>
      </c>
      <c r="F16" s="433">
        <v>73710540.540540546</v>
      </c>
      <c r="G16" s="432">
        <f t="shared" si="0"/>
        <v>91550951.499444664</v>
      </c>
      <c r="I16" s="426"/>
      <c r="O16" s="424">
        <v>20300000</v>
      </c>
      <c r="P16" s="424">
        <f>O16*5%</f>
        <v>1015000</v>
      </c>
    </row>
    <row r="17" spans="1:19">
      <c r="A17" s="424" t="s">
        <v>2</v>
      </c>
      <c r="B17" s="424" t="s">
        <v>2148</v>
      </c>
      <c r="C17" s="439">
        <v>1</v>
      </c>
      <c r="D17" s="437">
        <v>19000000</v>
      </c>
      <c r="E17" s="438">
        <v>12000000</v>
      </c>
      <c r="F17" s="437">
        <v>63000000</v>
      </c>
      <c r="G17" s="437">
        <f t="shared" si="0"/>
        <v>75000000</v>
      </c>
    </row>
    <row r="18" spans="1:19">
      <c r="B18" s="424" t="s">
        <v>2147</v>
      </c>
      <c r="C18" s="439">
        <v>5</v>
      </c>
      <c r="D18" s="437">
        <v>17400000</v>
      </c>
      <c r="E18" s="437">
        <v>7900000</v>
      </c>
      <c r="F18" s="438">
        <v>83900000</v>
      </c>
      <c r="G18" s="438">
        <f t="shared" si="0"/>
        <v>91800000</v>
      </c>
    </row>
    <row r="19" spans="1:19">
      <c r="B19" s="424" t="s">
        <v>169</v>
      </c>
      <c r="C19" s="439">
        <v>41</v>
      </c>
      <c r="D19" s="438">
        <v>21655990.90909091</v>
      </c>
      <c r="E19" s="437"/>
      <c r="F19" s="437"/>
      <c r="G19" s="437">
        <f t="shared" si="0"/>
        <v>0</v>
      </c>
      <c r="H19" s="440" t="s">
        <v>2146</v>
      </c>
    </row>
    <row r="20" spans="1:19">
      <c r="B20" s="424" t="s">
        <v>2145</v>
      </c>
      <c r="C20" s="439">
        <v>2</v>
      </c>
      <c r="D20" s="437">
        <v>15000000</v>
      </c>
      <c r="E20" s="437">
        <v>9000000</v>
      </c>
      <c r="F20" s="437">
        <v>70000000</v>
      </c>
      <c r="G20" s="437">
        <f t="shared" si="0"/>
        <v>79000000</v>
      </c>
    </row>
    <row r="21" spans="1:19">
      <c r="B21" s="424" t="s">
        <v>2144</v>
      </c>
      <c r="C21" s="439">
        <v>1</v>
      </c>
      <c r="D21" s="438">
        <v>20000000</v>
      </c>
      <c r="E21" s="437">
        <v>9500000</v>
      </c>
      <c r="F21" s="438">
        <v>80500000</v>
      </c>
      <c r="G21" s="438">
        <f t="shared" si="0"/>
        <v>90000000</v>
      </c>
    </row>
    <row r="22" spans="1:19">
      <c r="B22" s="424" t="s">
        <v>2143</v>
      </c>
      <c r="C22" s="439">
        <v>1</v>
      </c>
      <c r="D22" s="437">
        <v>17000000</v>
      </c>
      <c r="E22" s="438">
        <v>18000000</v>
      </c>
      <c r="F22" s="437">
        <v>54000000</v>
      </c>
      <c r="G22" s="437">
        <f t="shared" si="0"/>
        <v>72000000</v>
      </c>
    </row>
    <row r="23" spans="1:19">
      <c r="B23" s="424" t="s">
        <v>594</v>
      </c>
      <c r="C23" s="439">
        <v>8</v>
      </c>
      <c r="D23" s="437">
        <v>18375000</v>
      </c>
      <c r="E23" s="438">
        <v>14531250</v>
      </c>
      <c r="F23" s="437">
        <v>67781250</v>
      </c>
      <c r="G23" s="437">
        <f t="shared" si="0"/>
        <v>82312500</v>
      </c>
    </row>
    <row r="24" spans="1:19">
      <c r="A24" s="436" t="s">
        <v>2142</v>
      </c>
      <c r="B24" s="436"/>
      <c r="C24" s="435">
        <v>59</v>
      </c>
      <c r="D24" s="434">
        <v>19818942.583732057</v>
      </c>
      <c r="E24" s="433">
        <v>11847222.222222222</v>
      </c>
      <c r="F24" s="433">
        <v>72180555.555555552</v>
      </c>
      <c r="G24" s="432">
        <f t="shared" si="0"/>
        <v>84027777.777777776</v>
      </c>
      <c r="I24" s="426"/>
    </row>
    <row r="25" spans="1:19">
      <c r="A25" s="431" t="s">
        <v>2129</v>
      </c>
      <c r="B25" s="431"/>
      <c r="C25" s="430">
        <v>134</v>
      </c>
      <c r="D25" s="429">
        <v>20027609.010458566</v>
      </c>
      <c r="E25" s="428">
        <v>16654945.054945055</v>
      </c>
      <c r="F25" s="428">
        <v>73411195.652173907</v>
      </c>
      <c r="G25" s="427">
        <f t="shared" si="0"/>
        <v>90066140.707118958</v>
      </c>
      <c r="I25" s="426"/>
    </row>
    <row r="30" spans="1:19">
      <c r="A30" s="422" t="s">
        <v>2128</v>
      </c>
      <c r="B30" t="s">
        <v>2239</v>
      </c>
      <c r="C30" t="s">
        <v>2140</v>
      </c>
      <c r="E30" s="422" t="s">
        <v>2128</v>
      </c>
      <c r="F30" s="422" t="s">
        <v>2139</v>
      </c>
      <c r="G30" t="s">
        <v>2138</v>
      </c>
      <c r="I30" s="422" t="s">
        <v>2128</v>
      </c>
      <c r="J30" t="s">
        <v>2139</v>
      </c>
      <c r="K30" t="s">
        <v>2236</v>
      </c>
      <c r="L30"/>
      <c r="M30"/>
      <c r="N30"/>
      <c r="O30"/>
      <c r="P30"/>
    </row>
    <row r="31" spans="1:19">
      <c r="A31" s="14" t="s">
        <v>638</v>
      </c>
      <c r="B31" s="505">
        <v>2</v>
      </c>
      <c r="C31" s="506">
        <v>15000000</v>
      </c>
      <c r="E31" s="14" t="s">
        <v>638</v>
      </c>
      <c r="F31" s="505">
        <v>2</v>
      </c>
      <c r="G31" s="506">
        <v>70000000</v>
      </c>
      <c r="I31" s="14" t="s">
        <v>638</v>
      </c>
      <c r="J31" s="505">
        <v>2</v>
      </c>
      <c r="K31" s="506">
        <v>9000000</v>
      </c>
      <c r="L31" s="506">
        <f>GETPIVOTDATA("Average of BIAYA IW",$I$30,"kabupaten_name","BEKASI")+GETPIVOTDATA("Average of Additional Operational Cost Site",$E$30,"kabupaten_name","BEKASI")</f>
        <v>79000000</v>
      </c>
      <c r="M31" s="505">
        <v>2</v>
      </c>
      <c r="N31" s="506">
        <v>9000000</v>
      </c>
      <c r="O31" s="506">
        <f>N31*M31</f>
        <v>18000000</v>
      </c>
      <c r="P31"/>
      <c r="Q31" s="505">
        <v>2</v>
      </c>
      <c r="R31" s="506">
        <v>70000000</v>
      </c>
      <c r="S31" s="425">
        <f>R31*Q31</f>
        <v>140000000</v>
      </c>
    </row>
    <row r="32" spans="1:19">
      <c r="A32" s="14" t="s">
        <v>26</v>
      </c>
      <c r="B32" s="505">
        <v>25</v>
      </c>
      <c r="C32" s="506">
        <v>20300000</v>
      </c>
      <c r="E32" s="14" t="s">
        <v>26</v>
      </c>
      <c r="F32" s="505">
        <v>25</v>
      </c>
      <c r="G32" s="506">
        <v>72766666.666666672</v>
      </c>
      <c r="I32" s="14" t="s">
        <v>26</v>
      </c>
      <c r="J32" s="505">
        <v>25</v>
      </c>
      <c r="K32" s="506">
        <v>20117391.304347824</v>
      </c>
      <c r="L32" s="506">
        <f>GETPIVOTDATA("Average of BIAYA IW",$I$30,"kabupaten_name","BOGOR")+GETPIVOTDATA("Average of Additional Operational Cost Site",$E$30,"kabupaten_name","BOGOR")</f>
        <v>92884057.9710145</v>
      </c>
      <c r="M32" s="505">
        <v>25</v>
      </c>
      <c r="N32" s="506">
        <v>20117391.304347824</v>
      </c>
      <c r="O32" s="506">
        <f t="shared" ref="O32:O42" si="1">N32*M32</f>
        <v>502934782.60869563</v>
      </c>
      <c r="P32"/>
      <c r="Q32" s="505">
        <v>25</v>
      </c>
      <c r="R32" s="506">
        <v>72766666.666666672</v>
      </c>
      <c r="S32" s="425">
        <f t="shared" ref="S32:S42" si="2">R32*Q32</f>
        <v>1819166666.6666667</v>
      </c>
    </row>
    <row r="33" spans="1:19">
      <c r="A33" s="14" t="s">
        <v>505</v>
      </c>
      <c r="B33" s="505">
        <v>8</v>
      </c>
      <c r="C33" s="506">
        <v>17000000</v>
      </c>
      <c r="E33" s="14" t="s">
        <v>505</v>
      </c>
      <c r="F33" s="505">
        <v>8</v>
      </c>
      <c r="G33" s="506"/>
      <c r="I33" s="14" t="s">
        <v>505</v>
      </c>
      <c r="J33" s="505">
        <v>8</v>
      </c>
      <c r="K33" s="506"/>
      <c r="L33" s="506"/>
      <c r="M33" s="505">
        <v>4</v>
      </c>
      <c r="N33" s="506">
        <v>23437500</v>
      </c>
      <c r="O33" s="506">
        <f t="shared" si="1"/>
        <v>93750000</v>
      </c>
      <c r="P33"/>
      <c r="Q33" s="505">
        <v>4</v>
      </c>
      <c r="R33" s="506">
        <v>70625000</v>
      </c>
      <c r="S33" s="425">
        <f t="shared" si="2"/>
        <v>282500000</v>
      </c>
    </row>
    <row r="34" spans="1:19">
      <c r="A34" s="14" t="s">
        <v>1079</v>
      </c>
      <c r="B34" s="505">
        <v>14</v>
      </c>
      <c r="C34" s="506">
        <v>18277777.777777776</v>
      </c>
      <c r="E34" s="14" t="s">
        <v>1079</v>
      </c>
      <c r="F34" s="505">
        <v>14</v>
      </c>
      <c r="G34" s="506"/>
      <c r="I34" s="14" t="s">
        <v>1079</v>
      </c>
      <c r="J34" s="505">
        <v>14</v>
      </c>
      <c r="K34" s="506"/>
      <c r="L34" s="506"/>
      <c r="M34" s="505">
        <v>3</v>
      </c>
      <c r="N34" s="506">
        <v>25266666.666666668</v>
      </c>
      <c r="O34" s="506">
        <f t="shared" si="1"/>
        <v>75800000</v>
      </c>
      <c r="P34"/>
      <c r="Q34" s="505">
        <v>3</v>
      </c>
      <c r="R34" s="506">
        <v>76433333.333333328</v>
      </c>
      <c r="S34" s="425">
        <f t="shared" si="2"/>
        <v>229300000</v>
      </c>
    </row>
    <row r="35" spans="1:19">
      <c r="A35" s="14" t="s">
        <v>35</v>
      </c>
      <c r="B35" s="505">
        <v>8</v>
      </c>
      <c r="C35" s="506">
        <v>25311963.636363637</v>
      </c>
      <c r="E35" s="14" t="s">
        <v>35</v>
      </c>
      <c r="F35" s="505">
        <v>8</v>
      </c>
      <c r="G35" s="506"/>
      <c r="I35" s="14" t="s">
        <v>35</v>
      </c>
      <c r="J35" s="505">
        <v>8</v>
      </c>
      <c r="K35" s="506"/>
      <c r="L35" s="506"/>
      <c r="M35" s="505">
        <v>2</v>
      </c>
      <c r="N35" s="506">
        <v>18250000</v>
      </c>
      <c r="O35" s="506">
        <f t="shared" si="1"/>
        <v>36500000</v>
      </c>
      <c r="P35"/>
      <c r="Q35" s="505">
        <v>2</v>
      </c>
      <c r="R35" s="506">
        <v>73750000</v>
      </c>
      <c r="S35" s="425">
        <f t="shared" si="2"/>
        <v>147500000</v>
      </c>
    </row>
    <row r="36" spans="1:19">
      <c r="A36" s="14" t="s">
        <v>6</v>
      </c>
      <c r="B36" s="505">
        <v>11</v>
      </c>
      <c r="C36" s="506">
        <v>27015000</v>
      </c>
      <c r="E36" s="14" t="s">
        <v>6</v>
      </c>
      <c r="F36" s="505">
        <v>11</v>
      </c>
      <c r="G36" s="506"/>
      <c r="I36" s="14" t="s">
        <v>6</v>
      </c>
      <c r="J36" s="505">
        <v>11</v>
      </c>
      <c r="K36" s="506"/>
      <c r="L36" s="506"/>
      <c r="M36" s="505">
        <v>3</v>
      </c>
      <c r="N36" s="506">
        <v>12900000</v>
      </c>
      <c r="O36" s="506">
        <f t="shared" si="1"/>
        <v>38700000</v>
      </c>
      <c r="P36"/>
      <c r="Q36" s="505">
        <v>3</v>
      </c>
      <c r="R36" s="506">
        <v>74666666.666666672</v>
      </c>
      <c r="S36" s="425">
        <f t="shared" si="2"/>
        <v>224000000</v>
      </c>
    </row>
    <row r="37" spans="1:19">
      <c r="A37" s="14" t="s">
        <v>763</v>
      </c>
      <c r="B37" s="505">
        <v>4</v>
      </c>
      <c r="C37" s="506">
        <v>19000000</v>
      </c>
      <c r="E37" s="14" t="s">
        <v>763</v>
      </c>
      <c r="F37" s="505">
        <v>4</v>
      </c>
      <c r="G37" s="506">
        <v>70625000</v>
      </c>
      <c r="I37" s="14" t="s">
        <v>763</v>
      </c>
      <c r="J37" s="505">
        <v>4</v>
      </c>
      <c r="K37" s="506">
        <v>23437500</v>
      </c>
      <c r="L37" s="506">
        <f>GETPIVOTDATA("Average of Additional Operational Cost Site",$E$30,"kabupaten_name","KARAWANG")+GETPIVOTDATA("Average of BIAYA IW",$I$30,"kabupaten_name","KARAWANG")</f>
        <v>94062500</v>
      </c>
      <c r="M37" s="505">
        <v>1</v>
      </c>
      <c r="N37" s="506">
        <v>13400000</v>
      </c>
      <c r="O37" s="506">
        <f t="shared" si="1"/>
        <v>13400000</v>
      </c>
      <c r="P37"/>
      <c r="Q37" s="505">
        <v>1</v>
      </c>
      <c r="R37" s="506">
        <v>73000000</v>
      </c>
      <c r="S37" s="425">
        <f t="shared" si="2"/>
        <v>73000000</v>
      </c>
    </row>
    <row r="38" spans="1:19">
      <c r="A38" s="14" t="s">
        <v>53</v>
      </c>
      <c r="B38" s="505">
        <v>3</v>
      </c>
      <c r="C38" s="506">
        <v>20000000</v>
      </c>
      <c r="E38" s="14" t="s">
        <v>53</v>
      </c>
      <c r="F38" s="505">
        <v>3</v>
      </c>
      <c r="G38" s="506">
        <v>76433333.333333328</v>
      </c>
      <c r="I38" s="14" t="s">
        <v>53</v>
      </c>
      <c r="J38" s="505">
        <v>3</v>
      </c>
      <c r="K38" s="506">
        <v>25266666.666666668</v>
      </c>
      <c r="L38" s="506">
        <f>GETPIVOTDATA("Average of Additional Operational Cost Site",$E$30,"kabupaten_name","KOTA BEKASI")+GETPIVOTDATA("Average of BIAYA IW",$I$30,"kabupaten_name","KOTA BEKASI")</f>
        <v>101700000</v>
      </c>
      <c r="M38" s="505">
        <v>8</v>
      </c>
      <c r="N38" s="506">
        <v>12875000</v>
      </c>
      <c r="O38" s="506">
        <f t="shared" si="1"/>
        <v>103000000</v>
      </c>
      <c r="P38"/>
      <c r="Q38" s="505">
        <v>8</v>
      </c>
      <c r="R38" s="506">
        <v>81375000</v>
      </c>
      <c r="S38" s="425">
        <f t="shared" si="2"/>
        <v>651000000</v>
      </c>
    </row>
    <row r="39" spans="1:19">
      <c r="A39" s="14" t="s">
        <v>659</v>
      </c>
      <c r="B39" s="505">
        <v>2</v>
      </c>
      <c r="C39" s="506">
        <v>22000000</v>
      </c>
      <c r="E39" s="14" t="s">
        <v>659</v>
      </c>
      <c r="F39" s="505">
        <v>2</v>
      </c>
      <c r="G39" s="506">
        <v>73750000</v>
      </c>
      <c r="I39" s="14" t="s">
        <v>659</v>
      </c>
      <c r="J39" s="505">
        <v>2</v>
      </c>
      <c r="K39" s="506">
        <v>18250000</v>
      </c>
      <c r="L39" s="506">
        <f>GETPIVOTDATA("Average of Additional Operational Cost Site",$E$30,"kabupaten_name","KOTA BOGOR")+GETPIVOTDATA("Average of BIAYA IW",$I$30,"kabupaten_name","KOTA BOGOR")</f>
        <v>92000000</v>
      </c>
      <c r="M39" s="505">
        <v>2</v>
      </c>
      <c r="N39" s="506">
        <v>11250000</v>
      </c>
      <c r="O39" s="506">
        <f t="shared" si="1"/>
        <v>22500000</v>
      </c>
      <c r="P39"/>
      <c r="Q39" s="505">
        <v>2</v>
      </c>
      <c r="R39" s="506">
        <v>73000000</v>
      </c>
      <c r="S39" s="425">
        <f t="shared" si="2"/>
        <v>146000000</v>
      </c>
    </row>
    <row r="40" spans="1:19">
      <c r="A40" s="14" t="s">
        <v>497</v>
      </c>
      <c r="B40" s="505">
        <v>3</v>
      </c>
      <c r="C40" s="506">
        <v>19333333.333333332</v>
      </c>
      <c r="E40" s="14" t="s">
        <v>497</v>
      </c>
      <c r="F40" s="505">
        <v>3</v>
      </c>
      <c r="G40" s="506">
        <v>74666666.666666672</v>
      </c>
      <c r="I40" s="14" t="s">
        <v>497</v>
      </c>
      <c r="J40" s="505">
        <v>3</v>
      </c>
      <c r="K40" s="506">
        <v>12900000</v>
      </c>
      <c r="L40" s="506">
        <f>GETPIVOTDATA("Average of Additional Operational Cost Site",$E$30,"kabupaten_name","KOTA DEPOK")+GETPIVOTDATA("Average of BIAYA IW",$I$30,"kabupaten_name","KOTA DEPOK")</f>
        <v>87566666.666666672</v>
      </c>
      <c r="M40" s="505">
        <v>2</v>
      </c>
      <c r="N40" s="506">
        <v>14750000</v>
      </c>
      <c r="O40" s="506">
        <f t="shared" si="1"/>
        <v>29500000</v>
      </c>
      <c r="P40"/>
      <c r="Q40" s="505">
        <v>2</v>
      </c>
      <c r="R40" s="506">
        <v>79250000</v>
      </c>
      <c r="S40" s="425">
        <f t="shared" si="2"/>
        <v>158500000</v>
      </c>
    </row>
    <row r="41" spans="1:19">
      <c r="A41" s="14" t="s">
        <v>1615</v>
      </c>
      <c r="B41" s="505">
        <v>1</v>
      </c>
      <c r="C41" s="506">
        <v>23000000</v>
      </c>
      <c r="E41" s="14" t="s">
        <v>1615</v>
      </c>
      <c r="F41" s="505">
        <v>1</v>
      </c>
      <c r="G41" s="506">
        <v>73000000</v>
      </c>
      <c r="I41" s="14" t="s">
        <v>1615</v>
      </c>
      <c r="J41" s="505">
        <v>1</v>
      </c>
      <c r="K41" s="506">
        <v>13400000</v>
      </c>
      <c r="L41" s="506">
        <f>GETPIVOTDATA("Average of Additional Operational Cost Site",$E$30,"kabupaten_name","KOTA SUKABUMI")+GETPIVOTDATA("Average of BIAYA IW",$I$30,"kabupaten_name","KOTA SUKABUMI")</f>
        <v>86400000</v>
      </c>
      <c r="M41" s="505">
        <v>29</v>
      </c>
      <c r="N41" s="506">
        <v>15672413.793103449</v>
      </c>
      <c r="O41" s="506">
        <f t="shared" si="1"/>
        <v>454500000</v>
      </c>
      <c r="P41"/>
      <c r="Q41" s="505">
        <v>29</v>
      </c>
      <c r="R41" s="506">
        <v>73357931.034482762</v>
      </c>
      <c r="S41" s="425">
        <f t="shared" si="2"/>
        <v>2127380000</v>
      </c>
    </row>
    <row r="42" spans="1:19">
      <c r="A42" s="14" t="s">
        <v>21</v>
      </c>
      <c r="B42" s="505">
        <v>8</v>
      </c>
      <c r="C42" s="506">
        <v>21000000</v>
      </c>
      <c r="E42" s="14" t="s">
        <v>21</v>
      </c>
      <c r="F42" s="505">
        <v>8</v>
      </c>
      <c r="G42" s="506">
        <v>81375000</v>
      </c>
      <c r="I42" s="14" t="s">
        <v>21</v>
      </c>
      <c r="J42" s="505">
        <v>8</v>
      </c>
      <c r="K42" s="506">
        <v>12875000</v>
      </c>
      <c r="L42" s="506">
        <f>GETPIVOTDATA("Average of Additional Operational Cost Site",$E$30,"kabupaten_name","KOTA TANGERANG")+GETPIVOTDATA("Average of BIAYA IW",$I$30,"kabupaten_name","KOTA TANGERANG")</f>
        <v>94250000</v>
      </c>
      <c r="M42" s="505">
        <v>12</v>
      </c>
      <c r="N42" s="506">
        <v>13937500</v>
      </c>
      <c r="O42" s="506">
        <f t="shared" si="1"/>
        <v>167250000</v>
      </c>
      <c r="P42"/>
      <c r="Q42" s="505">
        <v>12</v>
      </c>
      <c r="R42" s="506">
        <v>69020833.333333328</v>
      </c>
      <c r="S42" s="425">
        <f t="shared" si="2"/>
        <v>828250000</v>
      </c>
    </row>
    <row r="43" spans="1:19">
      <c r="A43" s="14" t="s">
        <v>772</v>
      </c>
      <c r="B43" s="505">
        <v>2</v>
      </c>
      <c r="C43" s="506">
        <v>17000000</v>
      </c>
      <c r="E43" s="14" t="s">
        <v>772</v>
      </c>
      <c r="F43" s="505">
        <v>2</v>
      </c>
      <c r="G43" s="506">
        <v>73000000</v>
      </c>
      <c r="I43" s="14" t="s">
        <v>772</v>
      </c>
      <c r="J43" s="505">
        <v>2</v>
      </c>
      <c r="K43" s="506">
        <v>11250000</v>
      </c>
      <c r="L43" s="506">
        <f>GETPIVOTDATA("Average of Additional Operational Cost Site",$E$30,"kabupaten_name","SERANG")+GETPIVOTDATA("Average of BIAYA IW",$I$30,"kabupaten_name","SERANG")</f>
        <v>84250000</v>
      </c>
      <c r="M43">
        <f>SUM(M31:M42)</f>
        <v>93</v>
      </c>
      <c r="O43" s="506">
        <f>SUM(O31:O42)</f>
        <v>1555834782.6086955</v>
      </c>
      <c r="P43"/>
      <c r="Q43" s="424">
        <f>SUM(Q31:Q42)</f>
        <v>93</v>
      </c>
      <c r="S43" s="425">
        <f>SUM(S31:S42)</f>
        <v>6826596666.666667</v>
      </c>
    </row>
    <row r="44" spans="1:19">
      <c r="A44" s="14" t="s">
        <v>12</v>
      </c>
      <c r="B44" s="505">
        <v>2</v>
      </c>
      <c r="C44" s="506">
        <v>22500000</v>
      </c>
      <c r="E44" s="14" t="s">
        <v>12</v>
      </c>
      <c r="F44" s="505">
        <v>2</v>
      </c>
      <c r="G44" s="506">
        <v>79250000</v>
      </c>
      <c r="I44" s="14" t="s">
        <v>12</v>
      </c>
      <c r="J44" s="505">
        <v>2</v>
      </c>
      <c r="K44" s="506">
        <v>14750000</v>
      </c>
      <c r="L44" s="506">
        <f>GETPIVOTDATA("Average of Additional Operational Cost Site",$E$30,"kabupaten_name","SUKABUMI")+GETPIVOTDATA("Average of BIAYA IW",$I$30,"kabupaten_name","SUKABUMI")</f>
        <v>94000000</v>
      </c>
      <c r="M44"/>
      <c r="N44" s="507" t="s">
        <v>2237</v>
      </c>
      <c r="O44" s="508">
        <f>O43/M43</f>
        <v>16729406.264609629</v>
      </c>
      <c r="P44" s="509"/>
      <c r="Q44" s="507"/>
      <c r="R44" s="507" t="s">
        <v>2238</v>
      </c>
      <c r="S44" s="508">
        <f>S43/Q43</f>
        <v>73404265.232974917</v>
      </c>
    </row>
    <row r="45" spans="1:19">
      <c r="A45" s="14" t="s">
        <v>19</v>
      </c>
      <c r="B45" s="505">
        <v>29</v>
      </c>
      <c r="C45" s="506">
        <v>19603448.275862068</v>
      </c>
      <c r="E45" s="14" t="s">
        <v>19</v>
      </c>
      <c r="F45" s="505">
        <v>29</v>
      </c>
      <c r="G45" s="506">
        <v>73357931.034482762</v>
      </c>
      <c r="I45" s="14" t="s">
        <v>19</v>
      </c>
      <c r="J45" s="505">
        <v>29</v>
      </c>
      <c r="K45" s="506">
        <v>15672413.793103449</v>
      </c>
      <c r="L45" s="506">
        <f>GETPIVOTDATA("Average of Additional Operational Cost Site",$E$30,"kabupaten_name","TANGERANG")+GETPIVOTDATA("Average of BIAYA IW",$I$30,"kabupaten_name","TANGERANG")</f>
        <v>89030344.827586204</v>
      </c>
      <c r="M45"/>
      <c r="O45"/>
      <c r="P45"/>
    </row>
    <row r="46" spans="1:19">
      <c r="A46" s="14" t="s">
        <v>29</v>
      </c>
      <c r="B46" s="505">
        <v>12</v>
      </c>
      <c r="C46" s="506">
        <v>18000000</v>
      </c>
      <c r="E46" s="14" t="s">
        <v>29</v>
      </c>
      <c r="F46" s="505">
        <v>12</v>
      </c>
      <c r="G46" s="506">
        <v>69020833.333333328</v>
      </c>
      <c r="I46" s="14" t="s">
        <v>29</v>
      </c>
      <c r="J46" s="505">
        <v>12</v>
      </c>
      <c r="K46" s="506">
        <v>13937500</v>
      </c>
      <c r="L46" s="506">
        <f>GETPIVOTDATA("Average of Additional Operational Cost Site",$E$30,"kabupaten_name","TANGERANG SELATAN")+GETPIVOTDATA("Average of BIAYA IW",$I$30,"kabupaten_name","TANGERANG SELATAN")</f>
        <v>82958333.333333328</v>
      </c>
      <c r="M46"/>
      <c r="O46"/>
      <c r="P46"/>
    </row>
    <row r="47" spans="1:19">
      <c r="A47" s="14" t="s">
        <v>2129</v>
      </c>
      <c r="B47" s="505">
        <v>134</v>
      </c>
      <c r="C47" s="506">
        <v>20027609.010458566</v>
      </c>
      <c r="E47" s="14" t="s">
        <v>2129</v>
      </c>
      <c r="F47" s="505">
        <v>134</v>
      </c>
      <c r="G47" s="506">
        <v>73411195.652173907</v>
      </c>
      <c r="I47" s="14" t="s">
        <v>2129</v>
      </c>
      <c r="J47" s="505">
        <v>134</v>
      </c>
      <c r="K47" s="506">
        <v>16654945.054945055</v>
      </c>
      <c r="L47" s="506">
        <f>GETPIVOTDATA("Average of Additional Operational Cost Site",$E$30)+GETPIVOTDATA("Average of BIAYA IW",$I$30)</f>
        <v>90066140.707118958</v>
      </c>
      <c r="M47"/>
      <c r="N47"/>
      <c r="O47"/>
      <c r="P47"/>
    </row>
    <row r="48" spans="1:19">
      <c r="A48"/>
      <c r="B48"/>
      <c r="C48"/>
      <c r="D48"/>
      <c r="E48"/>
      <c r="F48"/>
      <c r="G48"/>
      <c r="I48"/>
      <c r="J48"/>
      <c r="K48"/>
      <c r="L48"/>
      <c r="M48"/>
      <c r="N48"/>
      <c r="O48"/>
      <c r="P48"/>
    </row>
    <row r="49" spans="1:137">
      <c r="A49"/>
      <c r="B49"/>
      <c r="C49"/>
      <c r="D49"/>
      <c r="E49"/>
      <c r="F49"/>
      <c r="G49"/>
      <c r="I49"/>
      <c r="J49"/>
      <c r="K49"/>
      <c r="L49"/>
      <c r="M49"/>
      <c r="N49"/>
      <c r="O49"/>
      <c r="P49"/>
    </row>
    <row r="52" spans="1:137">
      <c r="D52"/>
      <c r="E52"/>
      <c r="F52"/>
      <c r="G52"/>
      <c r="H52"/>
      <c r="I52"/>
      <c r="J52"/>
      <c r="K52"/>
      <c r="L52"/>
      <c r="M52"/>
      <c r="N52"/>
      <c r="O52"/>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c r="CA52"/>
      <c r="CB52"/>
      <c r="CC52"/>
      <c r="CD52"/>
      <c r="CE52"/>
      <c r="CF52"/>
      <c r="CG52"/>
      <c r="CH52"/>
      <c r="CI52"/>
      <c r="CJ52"/>
      <c r="CK52"/>
      <c r="CL52"/>
      <c r="CM52"/>
      <c r="CN52"/>
      <c r="CO52"/>
      <c r="CP52"/>
      <c r="CQ52"/>
      <c r="CR52"/>
      <c r="CS52"/>
      <c r="CT52"/>
      <c r="CU52"/>
      <c r="CV52"/>
      <c r="CW52"/>
      <c r="CX52"/>
      <c r="CY52"/>
      <c r="CZ52"/>
      <c r="DA52"/>
      <c r="DB52"/>
      <c r="DC52"/>
      <c r="DD52"/>
      <c r="DE52"/>
      <c r="DF52"/>
      <c r="DG52"/>
      <c r="DH52"/>
      <c r="DI52"/>
      <c r="DJ52"/>
      <c r="DK52"/>
      <c r="DL52"/>
      <c r="DM52"/>
      <c r="DN52"/>
      <c r="DO52"/>
      <c r="DP52"/>
      <c r="DQ52"/>
      <c r="DR52"/>
      <c r="DS52"/>
      <c r="DT52"/>
      <c r="DU52"/>
      <c r="DV52"/>
      <c r="DW52"/>
      <c r="DX52"/>
      <c r="DY52"/>
      <c r="DZ52"/>
      <c r="EA52"/>
      <c r="EB52"/>
      <c r="EC52"/>
      <c r="ED52"/>
      <c r="EE52"/>
      <c r="EF52"/>
      <c r="EG52"/>
    </row>
    <row r="53" spans="1:137">
      <c r="D53"/>
      <c r="E53"/>
      <c r="F53"/>
      <c r="G53"/>
      <c r="H53"/>
      <c r="I53"/>
      <c r="J53"/>
      <c r="K53"/>
      <c r="L53"/>
      <c r="M53"/>
      <c r="N53"/>
      <c r="O53"/>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c r="CA53"/>
      <c r="CB53"/>
      <c r="CC53"/>
      <c r="CD53"/>
      <c r="CE53"/>
      <c r="CF53"/>
      <c r="CG53"/>
      <c r="CH53"/>
      <c r="CI53"/>
      <c r="CJ53"/>
      <c r="CK53"/>
      <c r="CL53"/>
      <c r="CM53"/>
      <c r="CN53"/>
      <c r="CO53"/>
      <c r="CP53"/>
      <c r="CQ53"/>
      <c r="CR53"/>
      <c r="CS53"/>
      <c r="CT53"/>
      <c r="CU53"/>
      <c r="CV53"/>
      <c r="CW53"/>
      <c r="CX53"/>
      <c r="CY53"/>
      <c r="CZ53"/>
      <c r="DA53"/>
      <c r="DB53"/>
      <c r="DC53"/>
      <c r="DD53"/>
      <c r="DE53"/>
      <c r="DF53"/>
      <c r="DG53"/>
      <c r="DH53"/>
      <c r="DI53"/>
      <c r="DJ53"/>
      <c r="DK53"/>
      <c r="DL53"/>
      <c r="DM53"/>
      <c r="DN53"/>
      <c r="DO53"/>
      <c r="DP53"/>
      <c r="DQ53"/>
      <c r="DR53"/>
      <c r="DS53"/>
      <c r="DT53"/>
      <c r="DU53"/>
      <c r="DV53"/>
      <c r="DW53"/>
      <c r="DX53"/>
      <c r="DY53"/>
      <c r="DZ53"/>
      <c r="EA53"/>
      <c r="EB53"/>
      <c r="EC53"/>
      <c r="ED53"/>
      <c r="EE53"/>
      <c r="EF53"/>
      <c r="EG53"/>
    </row>
    <row r="54" spans="1:137">
      <c r="D54"/>
      <c r="E54"/>
      <c r="F54"/>
      <c r="G54"/>
      <c r="H54"/>
      <c r="I54"/>
      <c r="J54"/>
      <c r="K54"/>
      <c r="L54"/>
      <c r="M54"/>
      <c r="N54"/>
      <c r="O54"/>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c r="CA54"/>
      <c r="CB54"/>
      <c r="CC54"/>
      <c r="CD54"/>
      <c r="CE54"/>
      <c r="CF54"/>
      <c r="CG54"/>
      <c r="CH54"/>
      <c r="CI54"/>
      <c r="CJ54"/>
      <c r="CK54"/>
      <c r="CL54"/>
      <c r="CM54"/>
      <c r="CN54"/>
      <c r="CO54"/>
      <c r="CP54"/>
      <c r="CQ54"/>
      <c r="CR54"/>
      <c r="CS54"/>
      <c r="CT54"/>
      <c r="CU54"/>
      <c r="CV54"/>
      <c r="CW54"/>
      <c r="CX54"/>
      <c r="CY54"/>
      <c r="CZ54"/>
      <c r="DA54"/>
      <c r="DB54"/>
      <c r="DC54"/>
      <c r="DD54"/>
      <c r="DE54"/>
      <c r="DF54"/>
      <c r="DG54"/>
      <c r="DH54"/>
      <c r="DI54"/>
      <c r="DJ54"/>
      <c r="DK54"/>
      <c r="DL54"/>
      <c r="DM54"/>
      <c r="DN54"/>
      <c r="DO54"/>
      <c r="DP54"/>
      <c r="DQ54"/>
      <c r="DR54"/>
      <c r="DS54"/>
      <c r="DT54"/>
      <c r="DU54"/>
      <c r="DV54"/>
      <c r="DW54"/>
      <c r="DX54"/>
      <c r="DY54"/>
      <c r="DZ54"/>
      <c r="EA54"/>
      <c r="EB54"/>
      <c r="EC54"/>
      <c r="ED54"/>
      <c r="EE54"/>
      <c r="EF54"/>
      <c r="EG54"/>
    </row>
    <row r="55" spans="1:137">
      <c r="D55"/>
      <c r="E55"/>
      <c r="F55"/>
      <c r="G55"/>
      <c r="H55"/>
      <c r="I55"/>
      <c r="J55"/>
      <c r="K55"/>
      <c r="L55"/>
      <c r="M55"/>
      <c r="N55"/>
      <c r="O55"/>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c r="CA55"/>
      <c r="CB55"/>
      <c r="CC55"/>
      <c r="CD55"/>
      <c r="CE55"/>
      <c r="CF55"/>
      <c r="CG55"/>
      <c r="CH55"/>
      <c r="CI55"/>
      <c r="CJ55"/>
      <c r="CK55"/>
      <c r="CL55"/>
      <c r="CM55"/>
      <c r="CN55"/>
      <c r="CO55"/>
      <c r="CP55"/>
      <c r="CQ55"/>
      <c r="CR55"/>
      <c r="CS55"/>
      <c r="CT55"/>
      <c r="CU55"/>
      <c r="CV55"/>
      <c r="CW55"/>
      <c r="CX55"/>
      <c r="CY55"/>
      <c r="CZ55"/>
      <c r="DA55"/>
      <c r="DB55"/>
      <c r="DC55"/>
      <c r="DD55"/>
      <c r="DE55"/>
      <c r="DF55"/>
      <c r="DG55"/>
      <c r="DH55"/>
      <c r="DI55"/>
      <c r="DJ55"/>
      <c r="DK55"/>
      <c r="DL55"/>
      <c r="DM55"/>
      <c r="DN55"/>
      <c r="DO55"/>
      <c r="DP55"/>
      <c r="DQ55"/>
      <c r="DR55"/>
      <c r="DS55"/>
      <c r="DT55"/>
      <c r="DU55"/>
      <c r="DV55"/>
      <c r="DW55"/>
      <c r="DX55"/>
      <c r="DY55"/>
      <c r="DZ55"/>
      <c r="EA55"/>
      <c r="EB55"/>
      <c r="EC55"/>
      <c r="ED55"/>
      <c r="EE55"/>
      <c r="EF55"/>
      <c r="EG55"/>
    </row>
    <row r="56" spans="1:137">
      <c r="D56"/>
      <c r="E56"/>
      <c r="F56"/>
      <c r="G56"/>
      <c r="H56"/>
      <c r="I56"/>
      <c r="J56"/>
      <c r="K56"/>
      <c r="L56"/>
      <c r="M56"/>
      <c r="N56"/>
      <c r="O56"/>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c r="CA56"/>
      <c r="CB56"/>
      <c r="CC56"/>
      <c r="CD56"/>
      <c r="CE56"/>
      <c r="CF56"/>
      <c r="CG56"/>
      <c r="CH56"/>
      <c r="CI56"/>
      <c r="CJ56"/>
      <c r="CK56"/>
      <c r="CL56"/>
      <c r="CM56"/>
      <c r="CN56"/>
      <c r="CO56"/>
      <c r="CP56"/>
      <c r="CQ56"/>
      <c r="CR56"/>
      <c r="CS56"/>
      <c r="CT56"/>
      <c r="CU56"/>
      <c r="CV56"/>
      <c r="CW56"/>
      <c r="CX56"/>
      <c r="CY56"/>
      <c r="CZ56"/>
      <c r="DA56"/>
      <c r="DB56"/>
      <c r="DC56"/>
      <c r="DD56"/>
      <c r="DE56"/>
      <c r="DF56"/>
      <c r="DG56"/>
      <c r="DH56"/>
      <c r="DI56"/>
      <c r="DJ56"/>
      <c r="DK56"/>
      <c r="DL56"/>
      <c r="DM56"/>
      <c r="DN56"/>
      <c r="DO56"/>
      <c r="DP56"/>
      <c r="DQ56"/>
      <c r="DR56"/>
      <c r="DS56"/>
      <c r="DT56"/>
      <c r="DU56"/>
      <c r="DV56"/>
      <c r="DW56"/>
      <c r="DX56"/>
      <c r="DY56"/>
      <c r="DZ56"/>
      <c r="EA56"/>
      <c r="EB56"/>
      <c r="EC56"/>
      <c r="ED56"/>
      <c r="EE56"/>
      <c r="EF56"/>
      <c r="EG56"/>
    </row>
    <row r="57" spans="1:137">
      <c r="D57"/>
      <c r="E57"/>
      <c r="F57"/>
      <c r="G57"/>
      <c r="H57"/>
      <c r="I57"/>
      <c r="J57"/>
      <c r="K57"/>
      <c r="L57"/>
      <c r="M57"/>
      <c r="N57"/>
      <c r="O57"/>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c r="CA57"/>
      <c r="CB57"/>
      <c r="CC57"/>
      <c r="CD57"/>
      <c r="CE57"/>
      <c r="CF57"/>
      <c r="CG57"/>
      <c r="CH57"/>
      <c r="CI57"/>
      <c r="CJ57"/>
      <c r="CK57"/>
      <c r="CL57"/>
      <c r="CM57"/>
      <c r="CN57"/>
      <c r="CO57"/>
      <c r="CP57"/>
      <c r="CQ57"/>
      <c r="CR57"/>
      <c r="CS57"/>
      <c r="CT57"/>
      <c r="CU57"/>
      <c r="CV57"/>
      <c r="CW57"/>
      <c r="CX57"/>
      <c r="CY57"/>
      <c r="CZ57"/>
      <c r="DA57"/>
      <c r="DB57"/>
      <c r="DC57"/>
      <c r="DD57"/>
      <c r="DE57"/>
      <c r="DF57"/>
      <c r="DG57"/>
      <c r="DH57"/>
      <c r="DI57"/>
      <c r="DJ57"/>
      <c r="DK57"/>
      <c r="DL57"/>
      <c r="DM57"/>
      <c r="DN57"/>
      <c r="DO57"/>
      <c r="DP57"/>
      <c r="DQ57"/>
      <c r="DR57"/>
      <c r="DS57"/>
      <c r="DT57"/>
      <c r="DU57"/>
      <c r="DV57"/>
      <c r="DW57"/>
      <c r="DX57"/>
      <c r="DY57"/>
      <c r="DZ57"/>
      <c r="EA57"/>
      <c r="EB57"/>
      <c r="EC57"/>
      <c r="ED57"/>
      <c r="EE57"/>
      <c r="EF57"/>
      <c r="EG57"/>
    </row>
    <row r="58" spans="1:137">
      <c r="D58"/>
      <c r="E58"/>
      <c r="F58"/>
      <c r="G58"/>
      <c r="H58"/>
      <c r="I58"/>
      <c r="J58"/>
      <c r="K58"/>
      <c r="L58"/>
      <c r="M58"/>
      <c r="N58"/>
      <c r="O58"/>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c r="CA58"/>
      <c r="CB58"/>
      <c r="CC58"/>
      <c r="CD58"/>
      <c r="CE58"/>
      <c r="CF58"/>
      <c r="CG58"/>
      <c r="CH58"/>
      <c r="CI58"/>
      <c r="CJ58"/>
      <c r="CK58"/>
      <c r="CL58"/>
      <c r="CM58"/>
      <c r="CN58"/>
      <c r="CO58"/>
      <c r="CP58"/>
      <c r="CQ58"/>
      <c r="CR58"/>
      <c r="CS58"/>
      <c r="CT58"/>
      <c r="CU58"/>
      <c r="CV58"/>
      <c r="CW58"/>
      <c r="CX58"/>
      <c r="CY58"/>
      <c r="CZ58"/>
      <c r="DA58"/>
      <c r="DB58"/>
      <c r="DC58"/>
      <c r="DD58"/>
      <c r="DE58"/>
      <c r="DF58"/>
      <c r="DG58"/>
      <c r="DH58"/>
      <c r="DI58"/>
      <c r="DJ58"/>
      <c r="DK58"/>
      <c r="DL58"/>
      <c r="DM58"/>
      <c r="DN58"/>
      <c r="DO58"/>
      <c r="DP58"/>
      <c r="DQ58"/>
      <c r="DR58"/>
      <c r="DS58"/>
      <c r="DT58"/>
      <c r="DU58"/>
      <c r="DV58"/>
      <c r="DW58"/>
      <c r="DX58"/>
      <c r="DY58"/>
      <c r="DZ58"/>
      <c r="EA58"/>
      <c r="EB58"/>
      <c r="EC58"/>
      <c r="ED58"/>
      <c r="EE58"/>
      <c r="EF58"/>
      <c r="EG58"/>
    </row>
    <row r="59" spans="1:137">
      <c r="D59"/>
      <c r="E59"/>
      <c r="F59"/>
      <c r="G59"/>
      <c r="H59"/>
      <c r="I59"/>
      <c r="J59"/>
      <c r="K59"/>
      <c r="L59"/>
      <c r="M59"/>
      <c r="N59"/>
      <c r="O59"/>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c r="CA59"/>
      <c r="CB59"/>
      <c r="CC59"/>
      <c r="CD59"/>
      <c r="CE59"/>
      <c r="CF59"/>
      <c r="CG59"/>
      <c r="CH59"/>
      <c r="CI59"/>
      <c r="CJ59"/>
      <c r="CK59"/>
      <c r="CL59"/>
      <c r="CM59"/>
      <c r="CN59"/>
      <c r="CO59"/>
      <c r="CP59"/>
      <c r="CQ59"/>
      <c r="CR59"/>
      <c r="CS59"/>
      <c r="CT59"/>
      <c r="CU59"/>
      <c r="CV59"/>
      <c r="CW59"/>
      <c r="CX59"/>
      <c r="CY59"/>
      <c r="CZ59"/>
      <c r="DA59"/>
      <c r="DB59"/>
      <c r="DC59"/>
      <c r="DD59"/>
      <c r="DE59"/>
      <c r="DF59"/>
      <c r="DG59"/>
      <c r="DH59"/>
      <c r="DI59"/>
      <c r="DJ59"/>
      <c r="DK59"/>
      <c r="DL59"/>
      <c r="DM59"/>
      <c r="DN59"/>
      <c r="DO59"/>
      <c r="DP59"/>
      <c r="DQ59"/>
      <c r="DR59"/>
      <c r="DS59"/>
      <c r="DT59"/>
      <c r="DU59"/>
      <c r="DV59"/>
      <c r="DW59"/>
      <c r="DX59"/>
      <c r="DY59"/>
      <c r="DZ59"/>
      <c r="EA59"/>
      <c r="EB59"/>
      <c r="EC59"/>
      <c r="ED59"/>
      <c r="EE59"/>
      <c r="EF59"/>
      <c r="EG59"/>
    </row>
    <row r="60" spans="1:137">
      <c r="D60"/>
      <c r="E60"/>
      <c r="F60"/>
      <c r="G60"/>
      <c r="H60"/>
      <c r="I60"/>
      <c r="J60"/>
      <c r="K60"/>
      <c r="L60"/>
      <c r="M60"/>
      <c r="N60"/>
      <c r="O60"/>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c r="CA60"/>
      <c r="CB60"/>
      <c r="CC60"/>
      <c r="CD60"/>
      <c r="CE60"/>
      <c r="CF60"/>
      <c r="CG60"/>
      <c r="CH60"/>
      <c r="CI60"/>
      <c r="CJ60"/>
      <c r="CK60"/>
      <c r="CL60"/>
      <c r="CM60"/>
      <c r="CN60"/>
      <c r="CO60"/>
      <c r="CP60"/>
      <c r="CQ60"/>
      <c r="CR60"/>
      <c r="CS60"/>
      <c r="CT60"/>
      <c r="CU60"/>
      <c r="CV60"/>
      <c r="CW60"/>
      <c r="CX60"/>
      <c r="CY60"/>
      <c r="CZ60"/>
      <c r="DA60"/>
      <c r="DB60"/>
      <c r="DC60"/>
      <c r="DD60"/>
      <c r="DE60"/>
      <c r="DF60"/>
      <c r="DG60"/>
      <c r="DH60"/>
      <c r="DI60"/>
      <c r="DJ60"/>
      <c r="DK60"/>
      <c r="DL60"/>
      <c r="DM60"/>
      <c r="DN60"/>
      <c r="DO60"/>
      <c r="DP60"/>
      <c r="DQ60"/>
      <c r="DR60"/>
      <c r="DS60"/>
      <c r="DT60"/>
      <c r="DU60"/>
      <c r="DV60"/>
      <c r="DW60"/>
      <c r="DX60"/>
      <c r="DY60"/>
      <c r="DZ60"/>
      <c r="EA60"/>
      <c r="EB60"/>
      <c r="EC60"/>
      <c r="ED60"/>
      <c r="EE60"/>
      <c r="EF60"/>
      <c r="EG60"/>
    </row>
    <row r="61" spans="1:137">
      <c r="D61"/>
      <c r="E61"/>
      <c r="F61"/>
      <c r="G61"/>
      <c r="H61"/>
      <c r="I61"/>
      <c r="J61"/>
      <c r="K61"/>
      <c r="L61"/>
      <c r="M61"/>
      <c r="N61"/>
      <c r="O61"/>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c r="CA61"/>
      <c r="CB61"/>
      <c r="CC61"/>
      <c r="CD61"/>
      <c r="CE61"/>
      <c r="CF61"/>
      <c r="CG61"/>
      <c r="CH61"/>
      <c r="CI61"/>
      <c r="CJ61"/>
      <c r="CK61"/>
      <c r="CL61"/>
      <c r="CM61"/>
      <c r="CN61"/>
      <c r="CO61"/>
      <c r="CP61"/>
      <c r="CQ61"/>
      <c r="CR61"/>
      <c r="CS61"/>
      <c r="CT61"/>
      <c r="CU61"/>
      <c r="CV61"/>
      <c r="CW61"/>
      <c r="CX61"/>
      <c r="CY61"/>
      <c r="CZ61"/>
      <c r="DA61"/>
      <c r="DB61"/>
      <c r="DC61"/>
      <c r="DD61"/>
      <c r="DE61"/>
      <c r="DF61"/>
      <c r="DG61"/>
      <c r="DH61"/>
      <c r="DI61"/>
      <c r="DJ61"/>
      <c r="DK61"/>
      <c r="DL61"/>
      <c r="DM61"/>
      <c r="DN61"/>
      <c r="DO61"/>
      <c r="DP61"/>
      <c r="DQ61"/>
      <c r="DR61"/>
      <c r="DS61"/>
      <c r="DT61"/>
      <c r="DU61"/>
      <c r="DV61"/>
      <c r="DW61"/>
      <c r="DX61"/>
      <c r="DY61"/>
      <c r="DZ61"/>
      <c r="EA61"/>
      <c r="EB61"/>
      <c r="EC61"/>
      <c r="ED61"/>
      <c r="EE61"/>
      <c r="EF61"/>
      <c r="EG61"/>
    </row>
    <row r="62" spans="1:137">
      <c r="D62"/>
      <c r="E62"/>
      <c r="F62"/>
      <c r="G62"/>
      <c r="H62"/>
      <c r="I62"/>
      <c r="J62"/>
      <c r="K62"/>
      <c r="L62"/>
      <c r="M62"/>
      <c r="N62"/>
      <c r="O62"/>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c r="CA62"/>
      <c r="CB62"/>
      <c r="CC62"/>
      <c r="CD62"/>
      <c r="CE62"/>
      <c r="CF62"/>
      <c r="CG62"/>
      <c r="CH62"/>
      <c r="CI62"/>
      <c r="CJ62"/>
      <c r="CK62"/>
      <c r="CL62"/>
      <c r="CM62"/>
      <c r="CN62"/>
      <c r="CO62"/>
      <c r="CP62"/>
      <c r="CQ62"/>
      <c r="CR62"/>
      <c r="CS62"/>
      <c r="CT62"/>
      <c r="CU62"/>
      <c r="CV62"/>
      <c r="CW62"/>
      <c r="CX62"/>
      <c r="CY62"/>
      <c r="CZ62"/>
      <c r="DA62"/>
      <c r="DB62"/>
      <c r="DC62"/>
      <c r="DD62"/>
      <c r="DE62"/>
      <c r="DF62"/>
      <c r="DG62"/>
      <c r="DH62"/>
      <c r="DI62"/>
      <c r="DJ62"/>
      <c r="DK62"/>
      <c r="DL62"/>
      <c r="DM62"/>
      <c r="DN62"/>
      <c r="DO62"/>
      <c r="DP62"/>
      <c r="DQ62"/>
      <c r="DR62"/>
      <c r="DS62"/>
      <c r="DT62"/>
      <c r="DU62"/>
      <c r="DV62"/>
      <c r="DW62"/>
      <c r="DX62"/>
      <c r="DY62"/>
      <c r="DZ62"/>
      <c r="EA62"/>
      <c r="EB62"/>
      <c r="EC62"/>
      <c r="ED62"/>
      <c r="EE62"/>
      <c r="EF62"/>
      <c r="EG62"/>
    </row>
    <row r="63" spans="1:137">
      <c r="D63"/>
      <c r="E63"/>
      <c r="F63"/>
      <c r="G63"/>
      <c r="H63"/>
      <c r="I63"/>
      <c r="J63"/>
      <c r="K63"/>
      <c r="L63"/>
      <c r="M63"/>
      <c r="N63"/>
      <c r="O6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c r="CA63"/>
      <c r="CB63"/>
      <c r="CC63"/>
      <c r="CD63"/>
      <c r="CE63"/>
      <c r="CF63"/>
      <c r="CG63"/>
      <c r="CH63"/>
      <c r="CI63"/>
      <c r="CJ63"/>
      <c r="CK63"/>
      <c r="CL63"/>
      <c r="CM63"/>
      <c r="CN63"/>
      <c r="CO63"/>
      <c r="CP63"/>
      <c r="CQ63"/>
      <c r="CR63"/>
      <c r="CS63"/>
      <c r="CT63"/>
      <c r="CU63"/>
      <c r="CV63"/>
      <c r="CW63"/>
      <c r="CX63"/>
      <c r="CY63"/>
      <c r="CZ63"/>
      <c r="DA63"/>
      <c r="DB63"/>
      <c r="DC63"/>
      <c r="DD63"/>
      <c r="DE63"/>
      <c r="DF63"/>
      <c r="DG63"/>
      <c r="DH63"/>
      <c r="DI63"/>
      <c r="DJ63"/>
      <c r="DK63"/>
      <c r="DL63"/>
      <c r="DM63"/>
      <c r="DN63"/>
      <c r="DO63"/>
      <c r="DP63"/>
      <c r="DQ63"/>
      <c r="DR63"/>
      <c r="DS63"/>
      <c r="DT63"/>
      <c r="DU63"/>
      <c r="DV63"/>
      <c r="DW63"/>
      <c r="DX63"/>
      <c r="DY63"/>
      <c r="DZ63"/>
      <c r="EA63"/>
      <c r="EB63"/>
      <c r="EC63"/>
      <c r="ED63"/>
      <c r="EE63"/>
      <c r="EF63"/>
      <c r="EG63"/>
    </row>
    <row r="64" spans="1:137">
      <c r="D64"/>
      <c r="E64"/>
      <c r="F64"/>
      <c r="G64"/>
      <c r="H64"/>
      <c r="I64"/>
      <c r="J64"/>
      <c r="K64"/>
      <c r="L64"/>
      <c r="M64"/>
      <c r="N64"/>
      <c r="O64"/>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c r="CA64"/>
      <c r="CB64"/>
      <c r="CC64"/>
      <c r="CD64"/>
      <c r="CE64"/>
      <c r="CF64"/>
      <c r="CG64"/>
      <c r="CH64"/>
      <c r="CI64"/>
      <c r="CJ64"/>
      <c r="CK64"/>
      <c r="CL64"/>
      <c r="CM64"/>
      <c r="CN64"/>
      <c r="CO64"/>
      <c r="CP64"/>
      <c r="CQ64"/>
      <c r="CR64"/>
      <c r="CS64"/>
      <c r="CT64"/>
      <c r="CU64"/>
      <c r="CV64"/>
      <c r="CW64"/>
      <c r="CX64"/>
      <c r="CY64"/>
      <c r="CZ64"/>
      <c r="DA64"/>
      <c r="DB64"/>
      <c r="DC64"/>
      <c r="DD64"/>
      <c r="DE64"/>
      <c r="DF64"/>
      <c r="DG64"/>
      <c r="DH64"/>
      <c r="DI64"/>
      <c r="DJ64"/>
      <c r="DK64"/>
      <c r="DL64"/>
      <c r="DM64"/>
      <c r="DN64"/>
      <c r="DO64"/>
      <c r="DP64"/>
      <c r="DQ64"/>
      <c r="DR64"/>
      <c r="DS64"/>
      <c r="DT64"/>
      <c r="DU64"/>
      <c r="DV64"/>
      <c r="DW64"/>
      <c r="DX64"/>
      <c r="DY64"/>
      <c r="DZ64"/>
      <c r="EA64"/>
      <c r="EB64"/>
      <c r="EC64"/>
      <c r="ED64"/>
      <c r="EE64"/>
      <c r="EF64"/>
      <c r="EG64"/>
    </row>
    <row r="65" spans="1:137">
      <c r="D65"/>
      <c r="E65"/>
      <c r="F65"/>
      <c r="G65"/>
      <c r="H65"/>
      <c r="I65"/>
      <c r="J65"/>
      <c r="K65"/>
      <c r="L65"/>
      <c r="M65"/>
      <c r="N65"/>
      <c r="O65"/>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c r="CA65"/>
      <c r="CB65"/>
      <c r="CC65"/>
      <c r="CD65"/>
      <c r="CE65"/>
      <c r="CF65"/>
      <c r="CG65"/>
      <c r="CH65"/>
      <c r="CI65"/>
      <c r="CJ65"/>
      <c r="CK65"/>
      <c r="CL65"/>
      <c r="CM65"/>
      <c r="CN65"/>
      <c r="CO65"/>
      <c r="CP65"/>
      <c r="CQ65"/>
      <c r="CR65"/>
      <c r="CS65"/>
      <c r="CT65"/>
      <c r="CU65"/>
      <c r="CV65"/>
      <c r="CW65"/>
      <c r="CX65"/>
      <c r="CY65"/>
      <c r="CZ65"/>
      <c r="DA65"/>
      <c r="DB65"/>
      <c r="DC65"/>
      <c r="DD65"/>
      <c r="DE65"/>
      <c r="DF65"/>
      <c r="DG65"/>
      <c r="DH65"/>
      <c r="DI65"/>
      <c r="DJ65"/>
      <c r="DK65"/>
      <c r="DL65"/>
      <c r="DM65"/>
      <c r="DN65"/>
      <c r="DO65"/>
      <c r="DP65"/>
      <c r="DQ65"/>
      <c r="DR65"/>
      <c r="DS65"/>
      <c r="DT65"/>
      <c r="DU65"/>
      <c r="DV65"/>
      <c r="DW65"/>
      <c r="DX65"/>
      <c r="DY65"/>
      <c r="DZ65"/>
      <c r="EA65"/>
      <c r="EB65"/>
      <c r="EC65"/>
      <c r="ED65"/>
      <c r="EE65"/>
      <c r="EF65"/>
      <c r="EG65"/>
    </row>
    <row r="66" spans="1:137">
      <c r="D66"/>
      <c r="E66"/>
      <c r="F66"/>
      <c r="G66"/>
      <c r="H66"/>
      <c r="I66"/>
      <c r="J66"/>
      <c r="K66"/>
      <c r="L66"/>
      <c r="M66"/>
      <c r="N66"/>
      <c r="O66"/>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c r="CA66"/>
      <c r="CB66"/>
      <c r="CC66"/>
      <c r="CD66"/>
      <c r="CE66"/>
      <c r="CF66"/>
      <c r="CG66"/>
      <c r="CH66"/>
      <c r="CI66"/>
      <c r="CJ66"/>
      <c r="CK66"/>
      <c r="CL66"/>
      <c r="CM66"/>
      <c r="CN66"/>
      <c r="CO66"/>
      <c r="CP66"/>
      <c r="CQ66"/>
      <c r="CR66"/>
      <c r="CS66"/>
      <c r="CT66"/>
      <c r="CU66"/>
      <c r="CV66"/>
      <c r="CW66"/>
      <c r="CX66"/>
      <c r="CY66"/>
      <c r="CZ66"/>
      <c r="DA66"/>
      <c r="DB66"/>
      <c r="DC66"/>
      <c r="DD66"/>
      <c r="DE66"/>
      <c r="DF66"/>
      <c r="DG66"/>
      <c r="DH66"/>
      <c r="DI66"/>
      <c r="DJ66"/>
      <c r="DK66"/>
      <c r="DL66"/>
      <c r="DM66"/>
      <c r="DN66"/>
      <c r="DO66"/>
      <c r="DP66"/>
      <c r="DQ66"/>
      <c r="DR66"/>
      <c r="DS66"/>
      <c r="DT66"/>
      <c r="DU66"/>
      <c r="DV66"/>
      <c r="DW66"/>
      <c r="DX66"/>
      <c r="DY66"/>
      <c r="DZ66"/>
      <c r="EA66"/>
      <c r="EB66"/>
      <c r="EC66"/>
      <c r="ED66"/>
      <c r="EE66"/>
      <c r="EF66"/>
      <c r="EG66"/>
    </row>
    <row r="67" spans="1:137">
      <c r="D67"/>
      <c r="E67"/>
      <c r="F67"/>
      <c r="G67"/>
      <c r="H67"/>
      <c r="I67"/>
      <c r="J67"/>
      <c r="K67"/>
      <c r="L67"/>
      <c r="M67"/>
      <c r="N67"/>
      <c r="O67"/>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c r="CA67"/>
      <c r="CB67"/>
      <c r="CC67"/>
      <c r="CD67"/>
      <c r="CE67"/>
      <c r="CF67"/>
      <c r="CG67"/>
      <c r="CH67"/>
      <c r="CI67"/>
      <c r="CJ67"/>
      <c r="CK67"/>
      <c r="CL67"/>
      <c r="CM67"/>
      <c r="CN67"/>
      <c r="CO67"/>
      <c r="CP67"/>
      <c r="CQ67"/>
      <c r="CR67"/>
      <c r="CS67"/>
      <c r="CT67"/>
      <c r="CU67"/>
      <c r="CV67"/>
      <c r="CW67"/>
      <c r="CX67"/>
      <c r="CY67"/>
      <c r="CZ67"/>
      <c r="DA67"/>
      <c r="DB67"/>
      <c r="DC67"/>
      <c r="DD67"/>
      <c r="DE67"/>
      <c r="DF67"/>
      <c r="DG67"/>
      <c r="DH67"/>
      <c r="DI67"/>
      <c r="DJ67"/>
      <c r="DK67"/>
      <c r="DL67"/>
      <c r="DM67"/>
      <c r="DN67"/>
      <c r="DO67"/>
      <c r="DP67"/>
      <c r="DQ67"/>
      <c r="DR67"/>
      <c r="DS67"/>
      <c r="DT67"/>
      <c r="DU67"/>
      <c r="DV67"/>
      <c r="DW67"/>
      <c r="DX67"/>
      <c r="DY67"/>
      <c r="DZ67"/>
      <c r="EA67"/>
      <c r="EB67"/>
      <c r="EC67"/>
      <c r="ED67"/>
      <c r="EE67"/>
      <c r="EF67"/>
      <c r="EG67"/>
    </row>
    <row r="68" spans="1:137">
      <c r="D68"/>
      <c r="E68"/>
      <c r="F68"/>
      <c r="G68"/>
      <c r="H68"/>
      <c r="I68"/>
      <c r="J68"/>
      <c r="K68"/>
      <c r="L68"/>
      <c r="M68"/>
      <c r="N68"/>
      <c r="O68"/>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c r="CA68"/>
      <c r="CB68"/>
      <c r="CC68"/>
      <c r="CD68"/>
      <c r="CE68"/>
      <c r="CF68"/>
      <c r="CG68"/>
      <c r="CH68"/>
      <c r="CI68"/>
      <c r="CJ68"/>
      <c r="CK68"/>
      <c r="CL68"/>
      <c r="CM68"/>
      <c r="CN68"/>
      <c r="CO68"/>
      <c r="CP68"/>
      <c r="CQ68"/>
      <c r="CR68"/>
      <c r="CS68"/>
      <c r="CT68"/>
      <c r="CU68"/>
      <c r="CV68"/>
      <c r="CW68"/>
      <c r="CX68"/>
      <c r="CY68"/>
      <c r="CZ68"/>
      <c r="DA68"/>
      <c r="DB68"/>
      <c r="DC68"/>
      <c r="DD68"/>
      <c r="DE68"/>
      <c r="DF68"/>
      <c r="DG68"/>
      <c r="DH68"/>
      <c r="DI68"/>
      <c r="DJ68"/>
      <c r="DK68"/>
      <c r="DL68"/>
      <c r="DM68"/>
      <c r="DN68"/>
      <c r="DO68"/>
      <c r="DP68"/>
      <c r="DQ68"/>
      <c r="DR68"/>
      <c r="DS68"/>
      <c r="DT68"/>
      <c r="DU68"/>
      <c r="DV68"/>
      <c r="DW68"/>
      <c r="DX68"/>
      <c r="DY68"/>
      <c r="DZ68"/>
      <c r="EA68"/>
      <c r="EB68"/>
      <c r="EC68"/>
      <c r="ED68"/>
      <c r="EE68"/>
      <c r="EF68"/>
      <c r="EG68"/>
    </row>
    <row r="69" spans="1:137">
      <c r="D69"/>
      <c r="E69"/>
      <c r="F69"/>
      <c r="G69"/>
      <c r="H69"/>
      <c r="I69"/>
      <c r="J69"/>
      <c r="K69"/>
      <c r="L69"/>
      <c r="M69"/>
      <c r="N69"/>
      <c r="O69"/>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c r="CA69"/>
      <c r="CB69"/>
      <c r="CC69"/>
      <c r="CD69"/>
      <c r="CE69"/>
      <c r="CF69"/>
      <c r="CG69"/>
      <c r="CH69"/>
      <c r="CI69"/>
      <c r="CJ69"/>
      <c r="CK69"/>
      <c r="CL69"/>
      <c r="CM69"/>
      <c r="CN69"/>
      <c r="CO69"/>
      <c r="CP69"/>
      <c r="CQ69"/>
      <c r="CR69"/>
      <c r="CS69"/>
      <c r="CT69"/>
      <c r="CU69"/>
      <c r="CV69"/>
      <c r="CW69"/>
      <c r="CX69"/>
      <c r="CY69"/>
      <c r="CZ69"/>
      <c r="DA69"/>
      <c r="DB69"/>
      <c r="DC69"/>
      <c r="DD69"/>
      <c r="DE69"/>
      <c r="DF69"/>
      <c r="DG69"/>
      <c r="DH69"/>
      <c r="DI69"/>
      <c r="DJ69"/>
      <c r="DK69"/>
      <c r="DL69"/>
      <c r="DM69"/>
      <c r="DN69"/>
      <c r="DO69"/>
      <c r="DP69"/>
      <c r="DQ69"/>
      <c r="DR69"/>
      <c r="DS69"/>
      <c r="DT69"/>
      <c r="DU69"/>
      <c r="DV69"/>
      <c r="DW69"/>
      <c r="DX69"/>
      <c r="DY69"/>
      <c r="DZ69"/>
      <c r="EA69"/>
      <c r="EB69"/>
      <c r="EC69"/>
      <c r="ED69"/>
      <c r="EE69"/>
      <c r="EF69"/>
      <c r="EG69"/>
    </row>
    <row r="70" spans="1:137">
      <c r="A70"/>
      <c r="B70"/>
      <c r="C70"/>
      <c r="D70"/>
      <c r="E70"/>
      <c r="F70"/>
      <c r="G70"/>
      <c r="H70"/>
      <c r="I70"/>
      <c r="J70"/>
      <c r="K70"/>
      <c r="L70"/>
      <c r="M70"/>
      <c r="N70"/>
      <c r="O70"/>
      <c r="P70"/>
      <c r="Q70"/>
      <c r="R70"/>
      <c r="S70"/>
      <c r="T70"/>
      <c r="U70"/>
      <c r="V70"/>
      <c r="W70"/>
      <c r="X70"/>
      <c r="Y70"/>
      <c r="Z70"/>
      <c r="AA70"/>
      <c r="AB70"/>
      <c r="AC70"/>
      <c r="AD70"/>
      <c r="AE70"/>
      <c r="AF70"/>
      <c r="AG70"/>
      <c r="AH70"/>
      <c r="AI70"/>
      <c r="AJ70"/>
      <c r="AK70"/>
      <c r="AL70"/>
      <c r="AM70"/>
      <c r="AN70"/>
      <c r="AO70"/>
      <c r="AP70"/>
      <c r="AQ70"/>
      <c r="AR70"/>
      <c r="AS70"/>
      <c r="AT70"/>
      <c r="AU70"/>
      <c r="AV70"/>
      <c r="AW70"/>
      <c r="AX70"/>
      <c r="AY70"/>
      <c r="AZ70"/>
      <c r="BA70"/>
      <c r="BB70"/>
      <c r="BC70"/>
      <c r="BD70"/>
      <c r="BE70"/>
      <c r="BF70"/>
      <c r="BG70"/>
      <c r="BH70"/>
      <c r="BI70"/>
      <c r="BJ70"/>
      <c r="BK70"/>
      <c r="BL70"/>
      <c r="BM70"/>
      <c r="BN70"/>
      <c r="BO70"/>
      <c r="BP70"/>
      <c r="BQ70"/>
      <c r="BR70"/>
      <c r="BS70"/>
      <c r="BT70"/>
      <c r="BU70"/>
      <c r="BV70"/>
      <c r="BW70"/>
      <c r="BX70"/>
      <c r="BY70"/>
      <c r="BZ70"/>
      <c r="CA70"/>
      <c r="CB70"/>
      <c r="CC70"/>
      <c r="CD70"/>
      <c r="CE70"/>
      <c r="CF70"/>
      <c r="CG70"/>
      <c r="CH70"/>
      <c r="CI70"/>
      <c r="CJ70"/>
      <c r="CK70"/>
      <c r="CL70"/>
      <c r="CM70"/>
      <c r="CN70"/>
      <c r="CO70"/>
      <c r="CP70"/>
      <c r="CQ70"/>
      <c r="CR70"/>
      <c r="CS70"/>
      <c r="CT70"/>
      <c r="CU70"/>
      <c r="CV70"/>
      <c r="CW70"/>
      <c r="CX70"/>
      <c r="CY70"/>
      <c r="CZ70"/>
      <c r="DA70"/>
      <c r="DB70"/>
      <c r="DC70"/>
      <c r="DD70"/>
      <c r="DE70"/>
      <c r="DF70"/>
      <c r="DG70"/>
      <c r="DH70"/>
      <c r="DI70"/>
      <c r="DJ70"/>
      <c r="DK70"/>
      <c r="DL70"/>
      <c r="DM70"/>
      <c r="DN70"/>
      <c r="DO70"/>
      <c r="DP70"/>
      <c r="DQ70"/>
      <c r="DR70"/>
      <c r="DS70"/>
      <c r="DT70"/>
      <c r="DU70"/>
      <c r="DV70"/>
      <c r="DW70"/>
      <c r="DX70"/>
      <c r="DY70"/>
      <c r="DZ70"/>
      <c r="EA70"/>
      <c r="EB70"/>
      <c r="EC70"/>
      <c r="ED70"/>
      <c r="EE70"/>
      <c r="EF70"/>
      <c r="EG70"/>
    </row>
    <row r="71" spans="1:137">
      <c r="A71"/>
      <c r="B71"/>
    </row>
    <row r="72" spans="1:137">
      <c r="A72"/>
      <c r="B72"/>
    </row>
    <row r="73" spans="1:137">
      <c r="A73"/>
      <c r="B73"/>
    </row>
    <row r="74" spans="1:137">
      <c r="A74"/>
      <c r="B74"/>
    </row>
    <row r="75" spans="1:137">
      <c r="A75"/>
      <c r="B75"/>
    </row>
    <row r="76" spans="1:137">
      <c r="A76"/>
      <c r="B76"/>
    </row>
    <row r="77" spans="1:137">
      <c r="A77"/>
      <c r="B77"/>
    </row>
    <row r="78" spans="1:137">
      <c r="A78"/>
      <c r="B78"/>
    </row>
    <row r="79" spans="1:137">
      <c r="A79"/>
      <c r="B79"/>
    </row>
    <row r="80" spans="1:137">
      <c r="A80"/>
      <c r="B80"/>
    </row>
    <row r="81" spans="1:2">
      <c r="A81"/>
      <c r="B81"/>
    </row>
    <row r="82" spans="1:2">
      <c r="A82"/>
      <c r="B82"/>
    </row>
    <row r="83" spans="1:2">
      <c r="A83"/>
      <c r="B83"/>
    </row>
    <row r="84" spans="1:2">
      <c r="A84"/>
      <c r="B84"/>
    </row>
    <row r="85" spans="1:2">
      <c r="A85"/>
      <c r="B85"/>
    </row>
    <row r="86" spans="1:2">
      <c r="A86"/>
      <c r="B86"/>
    </row>
    <row r="87" spans="1:2">
      <c r="A87"/>
      <c r="B87"/>
    </row>
    <row r="88" spans="1:2">
      <c r="A88"/>
      <c r="B88"/>
    </row>
    <row r="89" spans="1:2">
      <c r="A89"/>
      <c r="B89"/>
    </row>
    <row r="90" spans="1:2">
      <c r="A90"/>
      <c r="B90"/>
    </row>
    <row r="91" spans="1:2">
      <c r="A91"/>
      <c r="B91"/>
    </row>
    <row r="92" spans="1:2">
      <c r="A92"/>
      <c r="B92"/>
    </row>
    <row r="93" spans="1:2">
      <c r="A93"/>
      <c r="B93"/>
    </row>
    <row r="94" spans="1:2">
      <c r="A94"/>
      <c r="B94"/>
    </row>
    <row r="95" spans="1:2">
      <c r="A95"/>
      <c r="B95"/>
    </row>
    <row r="96" spans="1:2">
      <c r="A96"/>
      <c r="B96"/>
    </row>
    <row r="97" spans="1:2">
      <c r="A97"/>
      <c r="B97"/>
    </row>
    <row r="98" spans="1:2">
      <c r="A98"/>
      <c r="B98"/>
    </row>
    <row r="99" spans="1:2">
      <c r="A99"/>
      <c r="B99"/>
    </row>
    <row r="100" spans="1:2">
      <c r="A100"/>
      <c r="B100"/>
    </row>
    <row r="101" spans="1:2">
      <c r="A101"/>
      <c r="B101"/>
    </row>
    <row r="102" spans="1:2">
      <c r="A102"/>
      <c r="B102"/>
    </row>
    <row r="103" spans="1:2">
      <c r="A103"/>
      <c r="B103"/>
    </row>
    <row r="104" spans="1:2">
      <c r="A104"/>
      <c r="B104"/>
    </row>
    <row r="105" spans="1:2">
      <c r="A105"/>
      <c r="B105"/>
    </row>
    <row r="106" spans="1:2">
      <c r="A106"/>
      <c r="B106"/>
    </row>
    <row r="107" spans="1:2">
      <c r="A107"/>
      <c r="B107"/>
    </row>
    <row r="108" spans="1:2">
      <c r="A108"/>
      <c r="B108"/>
    </row>
    <row r="109" spans="1:2">
      <c r="A109"/>
      <c r="B109"/>
    </row>
    <row r="110" spans="1:2">
      <c r="A110"/>
      <c r="B110"/>
    </row>
    <row r="111" spans="1:2">
      <c r="A111"/>
      <c r="B111"/>
    </row>
    <row r="112" spans="1:2">
      <c r="A112"/>
      <c r="B112"/>
    </row>
    <row r="113" spans="1:2">
      <c r="A113"/>
      <c r="B113"/>
    </row>
    <row r="114" spans="1:2">
      <c r="A114"/>
      <c r="B114"/>
    </row>
    <row r="115" spans="1:2">
      <c r="A115"/>
      <c r="B115"/>
    </row>
    <row r="116" spans="1:2">
      <c r="A116"/>
      <c r="B116"/>
    </row>
    <row r="117" spans="1:2">
      <c r="A117"/>
      <c r="B117"/>
    </row>
    <row r="118" spans="1:2">
      <c r="A118"/>
      <c r="B118"/>
    </row>
    <row r="119" spans="1:2">
      <c r="A119"/>
      <c r="B119"/>
    </row>
    <row r="120" spans="1:2">
      <c r="A120"/>
      <c r="B120"/>
    </row>
    <row r="121" spans="1:2">
      <c r="A121"/>
      <c r="B121"/>
    </row>
    <row r="122" spans="1:2">
      <c r="A122"/>
      <c r="B122"/>
    </row>
    <row r="123" spans="1:2">
      <c r="A123"/>
      <c r="B123"/>
    </row>
    <row r="124" spans="1:2">
      <c r="A124"/>
      <c r="B124"/>
    </row>
    <row r="125" spans="1:2">
      <c r="A125"/>
      <c r="B125"/>
    </row>
    <row r="126" spans="1:2">
      <c r="A126"/>
      <c r="B126"/>
    </row>
    <row r="127" spans="1:2">
      <c r="A127"/>
      <c r="B127"/>
    </row>
    <row r="128" spans="1:2">
      <c r="A128"/>
      <c r="B128"/>
    </row>
    <row r="129" spans="1:2">
      <c r="A129"/>
      <c r="B129"/>
    </row>
    <row r="130" spans="1:2">
      <c r="A130"/>
      <c r="B130"/>
    </row>
    <row r="131" spans="1:2">
      <c r="A131"/>
      <c r="B131"/>
    </row>
    <row r="132" spans="1:2">
      <c r="A132"/>
      <c r="B132"/>
    </row>
    <row r="133" spans="1:2">
      <c r="A133"/>
      <c r="B133"/>
    </row>
    <row r="134" spans="1:2">
      <c r="A134"/>
      <c r="B134"/>
    </row>
    <row r="135" spans="1:2">
      <c r="A135"/>
      <c r="B135"/>
    </row>
    <row r="136" spans="1:2">
      <c r="A136"/>
      <c r="B136"/>
    </row>
    <row r="137" spans="1:2">
      <c r="A137"/>
      <c r="B137"/>
    </row>
    <row r="138" spans="1:2">
      <c r="A138"/>
      <c r="B138"/>
    </row>
    <row r="139" spans="1:2">
      <c r="A139"/>
      <c r="B139"/>
    </row>
    <row r="140" spans="1:2">
      <c r="A140"/>
      <c r="B140"/>
    </row>
    <row r="141" spans="1:2">
      <c r="A141"/>
      <c r="B141"/>
    </row>
    <row r="142" spans="1:2">
      <c r="A142"/>
      <c r="B142"/>
    </row>
    <row r="143" spans="1:2">
      <c r="A143"/>
      <c r="B143"/>
    </row>
    <row r="144" spans="1:2">
      <c r="A144"/>
      <c r="B144"/>
    </row>
    <row r="145" spans="1:2">
      <c r="A145"/>
      <c r="B145"/>
    </row>
    <row r="146" spans="1:2">
      <c r="A146"/>
      <c r="B146"/>
    </row>
    <row r="147" spans="1:2">
      <c r="A147"/>
      <c r="B147"/>
    </row>
    <row r="148" spans="1:2">
      <c r="A148"/>
      <c r="B148"/>
    </row>
    <row r="149" spans="1:2">
      <c r="A149"/>
      <c r="B149"/>
    </row>
    <row r="150" spans="1:2">
      <c r="A150"/>
      <c r="B150"/>
    </row>
    <row r="151" spans="1:2">
      <c r="A151"/>
      <c r="B151"/>
    </row>
    <row r="152" spans="1:2">
      <c r="A152"/>
      <c r="B152"/>
    </row>
    <row r="153" spans="1:2">
      <c r="A153"/>
      <c r="B153"/>
    </row>
    <row r="154" spans="1:2">
      <c r="A154"/>
      <c r="B154"/>
    </row>
    <row r="155" spans="1:2">
      <c r="A155"/>
      <c r="B155"/>
    </row>
    <row r="156" spans="1:2">
      <c r="A156"/>
      <c r="B156"/>
    </row>
    <row r="157" spans="1:2">
      <c r="A157"/>
      <c r="B157"/>
    </row>
    <row r="158" spans="1:2">
      <c r="A158"/>
      <c r="B158"/>
    </row>
    <row r="159" spans="1:2">
      <c r="A159"/>
      <c r="B159"/>
    </row>
    <row r="160" spans="1:2">
      <c r="A160"/>
      <c r="B160"/>
    </row>
    <row r="161" spans="1:2">
      <c r="A161"/>
      <c r="B161"/>
    </row>
    <row r="162" spans="1:2">
      <c r="A162"/>
      <c r="B162"/>
    </row>
    <row r="163" spans="1:2">
      <c r="A163"/>
      <c r="B163"/>
    </row>
    <row r="164" spans="1:2">
      <c r="A164"/>
      <c r="B164"/>
    </row>
    <row r="165" spans="1:2">
      <c r="A165"/>
      <c r="B165"/>
    </row>
    <row r="166" spans="1:2">
      <c r="A166"/>
      <c r="B166"/>
    </row>
    <row r="167" spans="1:2">
      <c r="A167"/>
      <c r="B167"/>
    </row>
    <row r="168" spans="1:2">
      <c r="A168"/>
      <c r="B168"/>
    </row>
    <row r="169" spans="1:2">
      <c r="A169"/>
      <c r="B169"/>
    </row>
    <row r="170" spans="1:2">
      <c r="A170"/>
      <c r="B170"/>
    </row>
    <row r="171" spans="1:2">
      <c r="A171"/>
      <c r="B171"/>
    </row>
    <row r="172" spans="1:2">
      <c r="A172"/>
      <c r="B172"/>
    </row>
    <row r="173" spans="1:2">
      <c r="A173"/>
      <c r="B173"/>
    </row>
    <row r="174" spans="1:2">
      <c r="A174"/>
      <c r="B174"/>
    </row>
    <row r="175" spans="1:2">
      <c r="A175"/>
      <c r="B175"/>
    </row>
    <row r="176" spans="1:2">
      <c r="A176"/>
      <c r="B176"/>
    </row>
    <row r="177" spans="1:2">
      <c r="A177"/>
      <c r="B177"/>
    </row>
    <row r="178" spans="1:2">
      <c r="A178"/>
      <c r="B178"/>
    </row>
    <row r="179" spans="1:2">
      <c r="A179"/>
      <c r="B179"/>
    </row>
    <row r="180" spans="1:2">
      <c r="A180"/>
      <c r="B180"/>
    </row>
    <row r="181" spans="1:2">
      <c r="A181"/>
      <c r="B181"/>
    </row>
    <row r="182" spans="1:2">
      <c r="A182"/>
      <c r="B182"/>
    </row>
    <row r="183" spans="1:2">
      <c r="A183"/>
      <c r="B183"/>
    </row>
    <row r="184" spans="1:2">
      <c r="A184"/>
      <c r="B184"/>
    </row>
    <row r="185" spans="1:2">
      <c r="A185"/>
      <c r="B185"/>
    </row>
    <row r="186" spans="1:2">
      <c r="A186"/>
      <c r="B186"/>
    </row>
    <row r="187" spans="1:2">
      <c r="A187"/>
      <c r="B187"/>
    </row>
    <row r="188" spans="1:2">
      <c r="A188"/>
      <c r="B188"/>
    </row>
    <row r="189" spans="1:2">
      <c r="A189"/>
      <c r="B189"/>
    </row>
    <row r="190" spans="1:2">
      <c r="A190"/>
      <c r="B190"/>
    </row>
    <row r="191" spans="1:2">
      <c r="A191"/>
      <c r="B191"/>
    </row>
    <row r="192" spans="1:2">
      <c r="A192"/>
      <c r="B192"/>
    </row>
    <row r="193" spans="1:2">
      <c r="A193"/>
      <c r="B193"/>
    </row>
    <row r="194" spans="1:2">
      <c r="A194"/>
      <c r="B194"/>
    </row>
    <row r="195" spans="1:2">
      <c r="A195"/>
      <c r="B195"/>
    </row>
    <row r="196" spans="1:2">
      <c r="A196"/>
      <c r="B196"/>
    </row>
    <row r="197" spans="1:2">
      <c r="A197"/>
      <c r="B197"/>
    </row>
    <row r="198" spans="1:2">
      <c r="A198"/>
      <c r="B198"/>
    </row>
    <row r="199" spans="1:2">
      <c r="A199"/>
      <c r="B199"/>
    </row>
    <row r="200" spans="1:2">
      <c r="A200"/>
      <c r="B200"/>
    </row>
    <row r="201" spans="1:2">
      <c r="A201"/>
      <c r="B201"/>
    </row>
    <row r="202" spans="1:2">
      <c r="A202"/>
      <c r="B202"/>
    </row>
    <row r="203" spans="1:2">
      <c r="A203"/>
      <c r="B203"/>
    </row>
  </sheetData>
  <pageMargins left="0.7" right="0.7" top="0.75" bottom="0.75" header="0.3" footer="0.3"/>
  <pageSetup orientation="portrait" r:id="rId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Pvt</vt:lpstr>
      <vt:lpstr>Progress</vt:lpstr>
      <vt:lpstr>Validasi TSEL</vt:lpstr>
      <vt:lpstr>Kandidat Tracker</vt:lpstr>
      <vt:lpstr>Validasi XL</vt:lpstr>
      <vt:lpstr>Validasi SF</vt:lpstr>
      <vt:lpstr>Eskalasi Ready</vt:lpstr>
      <vt:lpstr>Input</vt:lpstr>
      <vt:lpstr>CAPEX</vt:lpstr>
      <vt:lpstr>Pengajuan Approval to ARO</vt:lpstr>
      <vt:lpstr>Request Soil Test</vt:lpstr>
      <vt:lpstr>Cancle</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Fandi Kurniawan Saputra</dc:creator>
  <cp:lastModifiedBy>Anugerah P P Aji</cp:lastModifiedBy>
  <dcterms:created xsi:type="dcterms:W3CDTF">2020-11-02T12:40:26Z</dcterms:created>
  <dcterms:modified xsi:type="dcterms:W3CDTF">2022-09-30T10:04:23Z</dcterms:modified>
</cp:coreProperties>
</file>