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Talonj123\MAVRIC\MAVRIC-Electrical\Electrical\"/>
    </mc:Choice>
  </mc:AlternateContent>
  <bookViews>
    <workbookView xWindow="7950" yWindow="0" windowWidth="18825" windowHeight="4845" activeTab="3"/>
  </bookViews>
  <sheets>
    <sheet name="Component Data" sheetId="1" r:id="rId1"/>
    <sheet name="Items" sheetId="3" r:id="rId2"/>
    <sheet name="Elaboration" sheetId="4" r:id="rId3"/>
    <sheet name="Results" sheetId="5" r:id="rId4"/>
  </sheets>
  <definedNames>
    <definedName name="_xlnm._FilterDatabase" localSheetId="0" hidden="1">'Component Data'!$C$1:$H$1</definedName>
    <definedName name="ComponentIDs">ComponentData[ID]</definedName>
    <definedName name="Elaboration">Table6[]</definedName>
    <definedName name="ItemIDs">ItemMap[ItemID]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6" i="5" l="1"/>
  <c r="D16" i="5" s="1"/>
  <c r="A16" i="5"/>
  <c r="B15" i="5"/>
  <c r="D15" i="5" s="1"/>
  <c r="A15" i="5"/>
  <c r="B14" i="5"/>
  <c r="D14" i="5" s="1"/>
  <c r="A14" i="5"/>
  <c r="B13" i="5"/>
  <c r="C13" i="5" s="1"/>
  <c r="A13" i="5"/>
  <c r="B12" i="5"/>
  <c r="C12" i="5" s="1"/>
  <c r="A12" i="5"/>
  <c r="B11" i="5"/>
  <c r="C11" i="5" s="1"/>
  <c r="A11" i="5"/>
  <c r="B10" i="5"/>
  <c r="D10" i="5" s="1"/>
  <c r="A10" i="5"/>
  <c r="B9" i="5"/>
  <c r="C9" i="5" s="1"/>
  <c r="A9" i="5"/>
  <c r="B8" i="5"/>
  <c r="D8" i="5" s="1"/>
  <c r="A8" i="5"/>
  <c r="B7" i="5"/>
  <c r="D7" i="5" s="1"/>
  <c r="A7" i="5"/>
  <c r="B6" i="5"/>
  <c r="D6" i="5" s="1"/>
  <c r="A6" i="5"/>
  <c r="B5" i="5"/>
  <c r="D5" i="5" s="1"/>
  <c r="A5" i="5"/>
  <c r="B4" i="5"/>
  <c r="D4" i="5" s="1"/>
  <c r="A4" i="5"/>
  <c r="B3" i="5"/>
  <c r="D3" i="5" s="1"/>
  <c r="A3" i="5"/>
  <c r="B2" i="5"/>
  <c r="D2" i="5" s="1"/>
  <c r="A2" i="5"/>
  <c r="D2" i="4"/>
  <c r="D3" i="4"/>
  <c r="E3" i="4" s="1"/>
  <c r="D4" i="4"/>
  <c r="E4" i="4" s="1"/>
  <c r="D5" i="4"/>
  <c r="E5" i="4" s="1"/>
  <c r="D6" i="4"/>
  <c r="D7" i="4"/>
  <c r="D8" i="4"/>
  <c r="D9" i="4"/>
  <c r="E9" i="4" s="1"/>
  <c r="D10" i="4"/>
  <c r="D11" i="4"/>
  <c r="D12" i="4"/>
  <c r="E12" i="4" s="1"/>
  <c r="D13" i="4"/>
  <c r="E13" i="4" s="1"/>
  <c r="D14" i="4"/>
  <c r="E14" i="4" s="1"/>
  <c r="D15" i="4"/>
  <c r="D16" i="4"/>
  <c r="E16" i="4" s="1"/>
  <c r="E2" i="4"/>
  <c r="E6" i="4"/>
  <c r="E7" i="4"/>
  <c r="E8" i="4"/>
  <c r="F8" i="4" s="1"/>
  <c r="E10" i="4"/>
  <c r="E11" i="4"/>
  <c r="E15" i="4"/>
  <c r="A3" i="4"/>
  <c r="A4" i="4"/>
  <c r="A5" i="4"/>
  <c r="A6" i="4"/>
  <c r="B6" i="4" s="1"/>
  <c r="I6" i="4" s="1"/>
  <c r="A7" i="4"/>
  <c r="A8" i="4"/>
  <c r="B8" i="4" s="1"/>
  <c r="I8" i="4" s="1"/>
  <c r="A9" i="4"/>
  <c r="A10" i="4"/>
  <c r="B10" i="4" s="1"/>
  <c r="I10" i="4" s="1"/>
  <c r="A11" i="4"/>
  <c r="A12" i="4"/>
  <c r="A13" i="4"/>
  <c r="B13" i="4" s="1"/>
  <c r="I13" i="4" s="1"/>
  <c r="A14" i="4"/>
  <c r="B14" i="4" s="1"/>
  <c r="I14" i="4" s="1"/>
  <c r="A15" i="4"/>
  <c r="A16" i="4"/>
  <c r="B16" i="4" s="1"/>
  <c r="G16" i="4" s="1"/>
  <c r="A2" i="4"/>
  <c r="B2" i="4" s="1"/>
  <c r="I2" i="4" s="1"/>
  <c r="B15" i="4"/>
  <c r="G15" i="4" s="1"/>
  <c r="B5" i="4"/>
  <c r="I5" i="4" s="1"/>
  <c r="B7" i="4"/>
  <c r="I7" i="4" s="1"/>
  <c r="B9" i="4"/>
  <c r="I9" i="4" s="1"/>
  <c r="B11" i="4"/>
  <c r="I11" i="4" s="1"/>
  <c r="B12" i="4"/>
  <c r="I12" i="4" s="1"/>
  <c r="B3" i="4"/>
  <c r="I3" i="4" s="1"/>
  <c r="B4" i="4"/>
  <c r="I4" i="4" s="1"/>
  <c r="C10" i="5" l="1"/>
  <c r="D13" i="5"/>
  <c r="D9" i="5"/>
  <c r="D12" i="5"/>
  <c r="D11" i="5"/>
  <c r="C14" i="5"/>
  <c r="I16" i="4"/>
  <c r="G5" i="4"/>
  <c r="G2" i="4"/>
  <c r="G13" i="4"/>
  <c r="H13" i="4" s="1"/>
  <c r="G9" i="4"/>
  <c r="H9" i="4" s="1"/>
  <c r="G12" i="4"/>
  <c r="H12" i="4" s="1"/>
  <c r="G8" i="4"/>
  <c r="G4" i="4"/>
  <c r="I15" i="4"/>
  <c r="G11" i="4"/>
  <c r="H11" i="4" s="1"/>
  <c r="G7" i="4"/>
  <c r="G3" i="4"/>
  <c r="G14" i="4"/>
  <c r="H14" i="4" s="1"/>
  <c r="G10" i="4"/>
  <c r="H10" i="4" s="1"/>
  <c r="G6" i="4"/>
  <c r="J16" i="4" l="1"/>
  <c r="H16" i="4" s="1"/>
  <c r="C16" i="5" s="1"/>
  <c r="J10" i="4"/>
  <c r="J12" i="4"/>
  <c r="J13" i="4"/>
  <c r="J11" i="4"/>
  <c r="J9" i="4"/>
  <c r="J14" i="4"/>
  <c r="K16" i="4" l="1"/>
  <c r="K11" i="4"/>
  <c r="F11" i="4" s="1"/>
  <c r="K13" i="4"/>
  <c r="K14" i="4"/>
  <c r="K12" i="4"/>
  <c r="K9" i="4"/>
  <c r="K10" i="4"/>
  <c r="F16" i="4" l="1"/>
  <c r="J15" i="4"/>
  <c r="J5" i="4"/>
  <c r="K5" i="4" s="1"/>
  <c r="F5" i="4" s="1"/>
  <c r="J3" i="4"/>
  <c r="K3" i="4" s="1"/>
  <c r="F3" i="4" s="1"/>
  <c r="F9" i="4"/>
  <c r="J6" i="4"/>
  <c r="K6" i="4" s="1"/>
  <c r="F6" i="4" s="1"/>
  <c r="F12" i="4"/>
  <c r="F14" i="4"/>
  <c r="J4" i="4"/>
  <c r="K4" i="4" s="1"/>
  <c r="F4" i="4" s="1"/>
  <c r="F10" i="4"/>
  <c r="J7" i="4"/>
  <c r="K7" i="4" s="1"/>
  <c r="F7" i="4" s="1"/>
  <c r="F13" i="4"/>
  <c r="H15" i="4" l="1"/>
  <c r="C15" i="5" s="1"/>
  <c r="K15" i="4"/>
  <c r="F15" i="4" s="1"/>
  <c r="H5" i="4"/>
  <c r="C5" i="5" s="1"/>
  <c r="H6" i="4"/>
  <c r="C6" i="5" s="1"/>
  <c r="H3" i="4"/>
  <c r="C3" i="5" s="1"/>
  <c r="H4" i="4"/>
  <c r="C4" i="5" s="1"/>
  <c r="H7" i="4"/>
  <c r="C7" i="5" s="1"/>
  <c r="J2" i="4"/>
  <c r="K2" i="4" s="1"/>
  <c r="F2" i="4" l="1"/>
  <c r="J8" i="4"/>
  <c r="H2" i="4"/>
  <c r="C2" i="5" s="1"/>
  <c r="K8" i="4" l="1"/>
  <c r="H8" i="4"/>
  <c r="C8" i="5" l="1"/>
</calcChain>
</file>

<file path=xl/sharedStrings.xml><?xml version="1.0" encoding="utf-8"?>
<sst xmlns="http://schemas.openxmlformats.org/spreadsheetml/2006/main" count="83" uniqueCount="51">
  <si>
    <t>Name</t>
  </si>
  <si>
    <t>Component</t>
  </si>
  <si>
    <t>Manufacturer</t>
  </si>
  <si>
    <t>Source</t>
  </si>
  <si>
    <t>Price</t>
  </si>
  <si>
    <t>ID</t>
  </si>
  <si>
    <t>Supply ID</t>
  </si>
  <si>
    <t>Victor SP DC Motor Driver</t>
  </si>
  <si>
    <t>VEX PRO</t>
  </si>
  <si>
    <t>https://www.vexrobotics.com/217-9090.html</t>
  </si>
  <si>
    <t>VEX ESC</t>
  </si>
  <si>
    <t>LiPo</t>
  </si>
  <si>
    <t>Consumption (W)</t>
  </si>
  <si>
    <t>ComponentID</t>
  </si>
  <si>
    <t>ItemID</t>
  </si>
  <si>
    <t>Output (V)</t>
  </si>
  <si>
    <t>Output (A)</t>
  </si>
  <si>
    <t>Output (mAh)</t>
  </si>
  <si>
    <t>Battery Pack</t>
  </si>
  <si>
    <t>Motor</t>
  </si>
  <si>
    <t>Banebots RS-550 Motor 19300rpm 12V 70.55oz-in</t>
  </si>
  <si>
    <t>BaneBot</t>
  </si>
  <si>
    <t>http://robotshop.com/en/banebots-rs-550-motor-12v-19300rpm.html</t>
  </si>
  <si>
    <t>FrontRight ESC</t>
  </si>
  <si>
    <t>MidRight ESC</t>
  </si>
  <si>
    <t>BackRight ESC</t>
  </si>
  <si>
    <t>FrontLeft ESC</t>
  </si>
  <si>
    <t>MidLeft ESC</t>
  </si>
  <si>
    <t>BackLeft ESC</t>
  </si>
  <si>
    <t>FrontRight Motor</t>
  </si>
  <si>
    <t>BackRight Motor</t>
  </si>
  <si>
    <t>FrontLeft Motor</t>
  </si>
  <si>
    <t>MidLeft Motor</t>
  </si>
  <si>
    <t>BackLeft Motor</t>
  </si>
  <si>
    <t>MidRight Motor</t>
  </si>
  <si>
    <t>Supply Component</t>
  </si>
  <si>
    <t>Output Current (A)</t>
  </si>
  <si>
    <t>Total Consumption (W)</t>
  </si>
  <si>
    <t>Children Consumption (W)</t>
  </si>
  <si>
    <t>Self Consumption (W)</t>
  </si>
  <si>
    <t>Input Current (A)</t>
  </si>
  <si>
    <t>Input Voltage (V)</t>
  </si>
  <si>
    <t>Output Voltage (V)</t>
  </si>
  <si>
    <t>Linear Regulator</t>
  </si>
  <si>
    <t>5V Regulator</t>
  </si>
  <si>
    <t>Logic Supply</t>
  </si>
  <si>
    <t>Raspberry Pi</t>
  </si>
  <si>
    <t>Raspberry Pi 3 Rev 1.2</t>
  </si>
  <si>
    <t>Master Control</t>
  </si>
  <si>
    <t>Current Output % Capacity</t>
  </si>
  <si>
    <t>Battery Life (hrs)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</si>
</sst>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49" fontId="0" fillId="0" borderId="0" xfId="0" applyNumberFormat="1"/>
    <xf numFmtId="164" fontId="0" fillId="0" borderId="0" xfId="0" applyNumberFormat="1"/>
    <xf numFmtId="4" fontId="0" fillId="0" borderId="0" xfId="0" applyNumberFormat="1"/>
    <xf numFmtId="2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20">
    <dxf>
      <numFmt numFmtId="2" formatCode="0.00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4" formatCode="#,##0.00"/>
    </dxf>
    <dxf>
      <numFmt numFmtId="164" formatCode="&quot;$&quot;#,##0.00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2" name="ComponentData" displayName="ComponentData" ref="A1:I6" totalsRowShown="0">
  <autoFilter ref="A1:I6"/>
  <tableColumns count="9">
    <tableColumn id="1" name="ID" dataDxfId="19">
      <calculatedColumnFormula>ComponentData[[#This Row],[Manufacturer]]</calculatedColumnFormula>
    </tableColumn>
    <tableColumn id="6" name="Name" dataDxfId="16"/>
    <tableColumn id="2" name="Manufacturer" dataDxfId="18"/>
    <tableColumn id="3" name="Source" dataDxfId="17"/>
    <tableColumn id="4" name="Price" dataDxfId="15"/>
    <tableColumn id="5" name="Consumption (W)" dataDxfId="14"/>
    <tableColumn id="7" name="Output (V)" dataDxfId="13"/>
    <tableColumn id="8" name="Output (A)"/>
    <tableColumn id="9" name="Output (mAh)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ItemMap" displayName="ItemMap" ref="A1:B16" totalsRowShown="0">
  <autoFilter ref="A1:B16"/>
  <tableColumns count="2">
    <tableColumn id="2" name="ItemID"/>
    <tableColumn id="8" name="ComponentID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6" name="Table6" displayName="Table6" ref="A1:K16" totalsRowShown="0">
  <autoFilter ref="A1:K16"/>
  <tableColumns count="11">
    <tableColumn id="1" name="ItemID" dataDxfId="12">
      <calculatedColumnFormula>ItemMap[[#This Row],[ItemID]]</calculatedColumnFormula>
    </tableColumn>
    <tableColumn id="2" name="Component" dataDxfId="11">
      <calculatedColumnFormula>IF(ISBLANK(Table6[[#This Row],[ItemID]]), "", VLOOKUP(Table6[[#This Row],[ItemID]], ItemMap[], 2, FALSE))</calculatedColumnFormula>
    </tableColumn>
    <tableColumn id="5" name="Supply ID" dataDxfId="9"/>
    <tableColumn id="13" name="Supply Component" dataDxfId="2">
      <calculatedColumnFormula>IF(ISBLANK(Table6[[#This Row],[Supply ID]]), "", VLOOKUP(Table6[[#This Row],[Supply ID]], ItemMap[], 2, FALSE))</calculatedColumnFormula>
    </tableColumn>
    <tableColumn id="11" name="Input Voltage (V)" dataDxfId="3">
      <calculatedColumnFormula>IF(ISBLANK(Table6[[#This Row],[Supply ID]]), 0,VLOOKUP(Table6[[#This Row],[Supply Component]], ComponentData[], 7, FALSE))</calculatedColumnFormula>
    </tableColumn>
    <tableColumn id="9" name="Input Current (A)" dataDxfId="4">
      <calculatedColumnFormula>IF(Table6[[#This Row],[Input Voltage (V)]]&lt;=0, 0, Table6[[#This Row],[Total Consumption (W)]]/Table6[[#This Row],[Input Voltage (V)]])</calculatedColumnFormula>
    </tableColumn>
    <tableColumn id="8" name="Output Voltage (V)" dataDxfId="6">
      <calculatedColumnFormula>IF(ISBLANK(Table6[[#This Row],[ItemID]]), "", VLOOKUP(Table6[[#This Row],[Component]], ComponentData[], 7, FALSE))</calculatedColumnFormula>
    </tableColumn>
    <tableColumn id="7" name="Output Current (A)" dataDxfId="5">
      <calculatedColumnFormula>IF(Table6[[#This Row],[Output Voltage (V)]]&lt;=0, 0, Table6[[#This Row],[Children Consumption (W)]]/Table6[[#This Row],[Output Voltage (V)]])</calculatedColumnFormula>
    </tableColumn>
    <tableColumn id="3" name="Self Consumption (W)" dataDxfId="10">
      <calculatedColumnFormula>IF(ISBLANK(Table6[[#This Row],[ItemID]]), "", VLOOKUP(Table6[[#This Row],[Component]], ComponentData[], 6, FALSE))</calculatedColumnFormula>
    </tableColumn>
    <tableColumn id="4" name="Children Consumption (W)" dataDxfId="7">
      <calculatedColumnFormula>SUMIFS(Table6[Total Consumption (W)], Table6[Supply ID], Table6[[#This Row],[ItemID]])</calculatedColumnFormula>
    </tableColumn>
    <tableColumn id="6" name="Total Consumption (W)" dataDxfId="8">
      <calculatedColumnFormula>Table6[[#This Row],[Self Consumption (W)]]+Table6[[#This Row],[Children Consumption (W)]]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7" name="Table7" displayName="Table7" ref="A1:D16" totalsRowShown="0">
  <autoFilter ref="A1:D16"/>
  <tableColumns count="4">
    <tableColumn id="1" name="ItemID">
      <calculatedColumnFormula>ItemMap[[#This Row],[ItemID]]</calculatedColumnFormula>
    </tableColumn>
    <tableColumn id="2" name="Component">
      <calculatedColumnFormula>IF(ISBLANK(Table6[[#This Row],[ItemID]]), "", VLOOKUP(Table6[[#This Row],[ItemID]], ItemMap[], 2, FALSE))</calculatedColumnFormula>
    </tableColumn>
    <tableColumn id="3" name="Current Output % Capacity" dataDxfId="1">
      <calculatedColumnFormula>IF(VLOOKUP(Table7[[#This Row],[Component]], ComponentData[], 8, FALSE)&gt;0, VLOOKUP(Table7[[#This Row],[ItemID]], Elaboration, 8, FALSE)/VLOOKUP(Table7[[#This Row],[Component]], ComponentData[], 8, FALSE), 0)</calculatedColumnFormula>
    </tableColumn>
    <tableColumn id="6" name="Battery Life (hrs)" dataDxfId="0">
      <calculatedColumnFormula>IF(VLOOKUP(Table7[[#This Row],[Component]], ComponentData[], 9, FALSE)&gt;0, VLOOKUP(Table7[[#This Row],[Component]], ComponentData[], 9, FALSE)/(VLOOKUP(Table7[[#This Row],[ItemID]], Elaboration, 8, FALSE)-VLOOKUP(Table7[[#This Row],[ItemID]], Elaboration, 6, FALSE)), "")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6"/>
  <sheetViews>
    <sheetView workbookViewId="0">
      <selection activeCell="H5" sqref="H5"/>
    </sheetView>
  </sheetViews>
  <sheetFormatPr defaultRowHeight="15" x14ac:dyDescent="0.25"/>
  <cols>
    <col min="1" max="1" width="29.7109375" customWidth="1"/>
    <col min="2" max="2" width="44.7109375" bestFit="1" customWidth="1"/>
    <col min="3" max="3" width="40.7109375" customWidth="1"/>
    <col min="4" max="4" width="64.42578125" bestFit="1" customWidth="1"/>
    <col min="5" max="5" width="7.7109375" bestFit="1" customWidth="1"/>
    <col min="6" max="6" width="19.140625" bestFit="1" customWidth="1"/>
    <col min="7" max="8" width="12.7109375" bestFit="1" customWidth="1"/>
    <col min="9" max="9" width="15.7109375" bestFit="1" customWidth="1"/>
  </cols>
  <sheetData>
    <row r="1" spans="1:9" x14ac:dyDescent="0.25">
      <c r="A1" t="s">
        <v>5</v>
      </c>
      <c r="B1" t="s">
        <v>0</v>
      </c>
      <c r="C1" t="s">
        <v>2</v>
      </c>
      <c r="D1" t="s">
        <v>3</v>
      </c>
      <c r="E1" t="s">
        <v>4</v>
      </c>
      <c r="F1" t="s">
        <v>12</v>
      </c>
      <c r="G1" t="s">
        <v>15</v>
      </c>
      <c r="H1" t="s">
        <v>16</v>
      </c>
      <c r="I1" t="s">
        <v>17</v>
      </c>
    </row>
    <row r="2" spans="1:9" x14ac:dyDescent="0.25">
      <c r="A2" s="2" t="s">
        <v>10</v>
      </c>
      <c r="B2" s="2" t="s">
        <v>7</v>
      </c>
      <c r="C2" s="2" t="s">
        <v>8</v>
      </c>
      <c r="D2" s="2" t="s">
        <v>9</v>
      </c>
      <c r="E2" s="3">
        <v>60</v>
      </c>
      <c r="F2" s="4">
        <v>0</v>
      </c>
      <c r="G2" s="5">
        <v>12</v>
      </c>
      <c r="H2">
        <v>60</v>
      </c>
      <c r="I2">
        <v>0</v>
      </c>
    </row>
    <row r="3" spans="1:9" x14ac:dyDescent="0.25">
      <c r="A3" s="2" t="s">
        <v>19</v>
      </c>
      <c r="B3" s="2" t="s">
        <v>20</v>
      </c>
      <c r="C3" s="2" t="s">
        <v>21</v>
      </c>
      <c r="D3" s="2" t="s">
        <v>22</v>
      </c>
      <c r="E3" s="3">
        <v>7.25</v>
      </c>
      <c r="F3" s="4">
        <v>1020</v>
      </c>
      <c r="G3" s="5"/>
      <c r="I3">
        <v>0</v>
      </c>
    </row>
    <row r="4" spans="1:9" x14ac:dyDescent="0.25">
      <c r="A4" s="2" t="s">
        <v>11</v>
      </c>
      <c r="B4" s="2"/>
      <c r="C4" s="2"/>
      <c r="D4" s="2"/>
      <c r="E4" s="3"/>
      <c r="F4" s="4">
        <v>-8000</v>
      </c>
      <c r="G4" s="5">
        <v>12</v>
      </c>
      <c r="H4">
        <v>1000</v>
      </c>
      <c r="I4">
        <v>5000</v>
      </c>
    </row>
    <row r="5" spans="1:9" x14ac:dyDescent="0.25">
      <c r="A5" s="2" t="s">
        <v>44</v>
      </c>
      <c r="B5" s="2" t="s">
        <v>43</v>
      </c>
      <c r="C5" s="2"/>
      <c r="D5" s="2"/>
      <c r="E5" s="3"/>
      <c r="F5" s="4">
        <v>0</v>
      </c>
      <c r="G5" s="5">
        <v>5</v>
      </c>
      <c r="H5">
        <v>10</v>
      </c>
      <c r="I5">
        <v>0</v>
      </c>
    </row>
    <row r="6" spans="1:9" x14ac:dyDescent="0.25">
      <c r="A6" s="2" t="s">
        <v>46</v>
      </c>
      <c r="B6" s="2" t="s">
        <v>47</v>
      </c>
      <c r="C6" s="2"/>
      <c r="D6" s="2"/>
      <c r="E6" s="3">
        <v>30</v>
      </c>
      <c r="F6" s="4">
        <v>7</v>
      </c>
      <c r="G6" s="5">
        <v>3.3</v>
      </c>
      <c r="H6">
        <v>0.5</v>
      </c>
      <c r="I6">
        <v>0</v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A8" sqref="A8:B8"/>
    </sheetView>
  </sheetViews>
  <sheetFormatPr defaultRowHeight="15" x14ac:dyDescent="0.25"/>
  <cols>
    <col min="1" max="1" width="20" bestFit="1" customWidth="1"/>
    <col min="2" max="2" width="16.7109375" bestFit="1" customWidth="1"/>
  </cols>
  <sheetData>
    <row r="1" spans="1:2" x14ac:dyDescent="0.25">
      <c r="A1" t="s">
        <v>14</v>
      </c>
      <c r="B1" t="s">
        <v>13</v>
      </c>
    </row>
    <row r="2" spans="1:2" x14ac:dyDescent="0.25">
      <c r="A2" t="s">
        <v>23</v>
      </c>
      <c r="B2" t="s">
        <v>10</v>
      </c>
    </row>
    <row r="3" spans="1:2" x14ac:dyDescent="0.25">
      <c r="A3" t="s">
        <v>24</v>
      </c>
      <c r="B3" t="s">
        <v>10</v>
      </c>
    </row>
    <row r="4" spans="1:2" x14ac:dyDescent="0.25">
      <c r="A4" t="s">
        <v>25</v>
      </c>
      <c r="B4" t="s">
        <v>10</v>
      </c>
    </row>
    <row r="5" spans="1:2" x14ac:dyDescent="0.25">
      <c r="A5" t="s">
        <v>26</v>
      </c>
      <c r="B5" t="s">
        <v>10</v>
      </c>
    </row>
    <row r="6" spans="1:2" x14ac:dyDescent="0.25">
      <c r="A6" t="s">
        <v>27</v>
      </c>
      <c r="B6" t="s">
        <v>10</v>
      </c>
    </row>
    <row r="7" spans="1:2" x14ac:dyDescent="0.25">
      <c r="A7" t="s">
        <v>28</v>
      </c>
      <c r="B7" t="s">
        <v>10</v>
      </c>
    </row>
    <row r="8" spans="1:2" x14ac:dyDescent="0.25">
      <c r="A8" t="s">
        <v>18</v>
      </c>
      <c r="B8" t="s">
        <v>11</v>
      </c>
    </row>
    <row r="9" spans="1:2" x14ac:dyDescent="0.25">
      <c r="A9" t="s">
        <v>29</v>
      </c>
      <c r="B9" t="s">
        <v>19</v>
      </c>
    </row>
    <row r="10" spans="1:2" x14ac:dyDescent="0.25">
      <c r="A10" t="s">
        <v>34</v>
      </c>
      <c r="B10" t="s">
        <v>19</v>
      </c>
    </row>
    <row r="11" spans="1:2" x14ac:dyDescent="0.25">
      <c r="A11" t="s">
        <v>30</v>
      </c>
      <c r="B11" t="s">
        <v>19</v>
      </c>
    </row>
    <row r="12" spans="1:2" x14ac:dyDescent="0.25">
      <c r="A12" t="s">
        <v>31</v>
      </c>
      <c r="B12" t="s">
        <v>19</v>
      </c>
    </row>
    <row r="13" spans="1:2" x14ac:dyDescent="0.25">
      <c r="A13" t="s">
        <v>32</v>
      </c>
      <c r="B13" t="s">
        <v>19</v>
      </c>
    </row>
    <row r="14" spans="1:2" x14ac:dyDescent="0.25">
      <c r="A14" t="s">
        <v>33</v>
      </c>
      <c r="B14" t="s">
        <v>19</v>
      </c>
    </row>
    <row r="15" spans="1:2" x14ac:dyDescent="0.25">
      <c r="A15" t="s">
        <v>45</v>
      </c>
      <c r="B15" t="s">
        <v>44</v>
      </c>
    </row>
    <row r="16" spans="1:2" x14ac:dyDescent="0.25">
      <c r="A16" t="s">
        <v>48</v>
      </c>
      <c r="B16" t="s">
        <v>46</v>
      </c>
    </row>
  </sheetData>
  <dataValidations count="1">
    <dataValidation type="list" allowBlank="1" showInputMessage="1" showErrorMessage="1" sqref="B2:B16">
      <formula1>ComponentIDs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>
      <selection sqref="A1:B16"/>
    </sheetView>
  </sheetViews>
  <sheetFormatPr defaultRowHeight="15" x14ac:dyDescent="0.25"/>
  <cols>
    <col min="1" max="1" width="16.28515625" bestFit="1" customWidth="1"/>
    <col min="2" max="2" width="13.7109375" bestFit="1" customWidth="1"/>
    <col min="3" max="3" width="13.7109375" customWidth="1"/>
    <col min="4" max="4" width="20.42578125" bestFit="1" customWidth="1"/>
    <col min="5" max="5" width="18.5703125" bestFit="1" customWidth="1"/>
    <col min="6" max="6" width="18.42578125" bestFit="1" customWidth="1"/>
    <col min="7" max="7" width="20.28515625" bestFit="1" customWidth="1"/>
    <col min="8" max="8" width="20.140625" bestFit="1" customWidth="1"/>
    <col min="9" max="9" width="23.140625" bestFit="1" customWidth="1"/>
    <col min="10" max="10" width="27.42578125" bestFit="1" customWidth="1"/>
    <col min="11" max="11" width="24.28515625" bestFit="1" customWidth="1"/>
  </cols>
  <sheetData>
    <row r="1" spans="1:11" x14ac:dyDescent="0.25">
      <c r="A1" t="s">
        <v>14</v>
      </c>
      <c r="B1" t="s">
        <v>1</v>
      </c>
      <c r="C1" t="s">
        <v>6</v>
      </c>
      <c r="D1" t="s">
        <v>35</v>
      </c>
      <c r="E1" t="s">
        <v>41</v>
      </c>
      <c r="F1" t="s">
        <v>40</v>
      </c>
      <c r="G1" t="s">
        <v>42</v>
      </c>
      <c r="H1" t="s">
        <v>36</v>
      </c>
      <c r="I1" t="s">
        <v>39</v>
      </c>
      <c r="J1" t="s">
        <v>38</v>
      </c>
      <c r="K1" t="s">
        <v>37</v>
      </c>
    </row>
    <row r="2" spans="1:11" x14ac:dyDescent="0.25">
      <c r="A2" t="str">
        <f>ItemMap[[#This Row],[ItemID]]</f>
        <v>FrontRight ESC</v>
      </c>
      <c r="B2" t="str">
        <f>IF(ISBLANK(Table6[[#This Row],[ItemID]]), "", VLOOKUP(Table6[[#This Row],[ItemID]], ItemMap[], 2, FALSE))</f>
        <v>VEX ESC</v>
      </c>
      <c r="C2" t="s">
        <v>18</v>
      </c>
      <c r="D2" t="str">
        <f>IF(ISBLANK(Table6[[#This Row],[Supply ID]]), "", VLOOKUP(Table6[[#This Row],[Supply ID]], ItemMap[], 2, FALSE))</f>
        <v>LiPo</v>
      </c>
      <c r="E2" s="1">
        <f>IF(ISBLANK(Table6[[#This Row],[Supply ID]]), 0,VLOOKUP(Table6[[#This Row],[Supply Component]], ComponentData[], 7, FALSE))</f>
        <v>12</v>
      </c>
      <c r="F2" s="1">
        <f>IF(Table6[[#This Row],[Input Voltage (V)]]&lt;=0, 0, Table6[[#This Row],[Total Consumption (W)]]/Table6[[#This Row],[Input Voltage (V)]])</f>
        <v>85</v>
      </c>
      <c r="G2">
        <f>IF(ISBLANK(Table6[[#This Row],[ItemID]]), "", VLOOKUP(Table6[[#This Row],[Component]], ComponentData[], 7, FALSE))</f>
        <v>12</v>
      </c>
      <c r="H2" s="1">
        <f>IF(Table6[[#This Row],[Output Voltage (V)]]&lt;=0, 0, Table6[[#This Row],[Children Consumption (W)]]/Table6[[#This Row],[Output Voltage (V)]])</f>
        <v>85</v>
      </c>
      <c r="I2">
        <f>IF(ISBLANK(Table6[[#This Row],[ItemID]]), "", VLOOKUP(Table6[[#This Row],[Component]], ComponentData[], 6, FALSE))</f>
        <v>0</v>
      </c>
      <c r="J2" s="1">
        <f>SUMIFS(Table6[Total Consumption (W)], Table6[Supply ID], Table6[[#This Row],[ItemID]])</f>
        <v>1020</v>
      </c>
      <c r="K2" s="1">
        <f>Table6[[#This Row],[Self Consumption (W)]]+Table6[[#This Row],[Children Consumption (W)]]</f>
        <v>1020</v>
      </c>
    </row>
    <row r="3" spans="1:11" x14ac:dyDescent="0.25">
      <c r="A3" t="str">
        <f>ItemMap[[#This Row],[ItemID]]</f>
        <v>MidRight ESC</v>
      </c>
      <c r="B3" t="str">
        <f>IF(ISBLANK(Table6[[#This Row],[ItemID]]), "", VLOOKUP(Table6[[#This Row],[ItemID]], ItemMap[], 2, FALSE))</f>
        <v>VEX ESC</v>
      </c>
      <c r="C3" t="s">
        <v>18</v>
      </c>
      <c r="D3" t="str">
        <f>IF(ISBLANK(Table6[[#This Row],[Supply ID]]), "", VLOOKUP(Table6[[#This Row],[Supply ID]], ItemMap[], 2, FALSE))</f>
        <v>LiPo</v>
      </c>
      <c r="E3" s="1">
        <f>IF(ISBLANK(Table6[[#This Row],[Supply ID]]), 0,VLOOKUP(Table6[[#This Row],[Supply Component]], ComponentData[], 7, FALSE))</f>
        <v>12</v>
      </c>
      <c r="F3" s="1">
        <f>IF(Table6[[#This Row],[Input Voltage (V)]]&lt;=0, 0, Table6[[#This Row],[Total Consumption (W)]]/Table6[[#This Row],[Input Voltage (V)]])</f>
        <v>85</v>
      </c>
      <c r="G3">
        <f>IF(ISBLANK(Table6[[#This Row],[ItemID]]), "", VLOOKUP(Table6[[#This Row],[Component]], ComponentData[], 7, FALSE))</f>
        <v>12</v>
      </c>
      <c r="H3" s="1">
        <f>IF(Table6[[#This Row],[Output Voltage (V)]]&lt;=0, 0, Table6[[#This Row],[Children Consumption (W)]]/Table6[[#This Row],[Output Voltage (V)]])</f>
        <v>85</v>
      </c>
      <c r="I3">
        <f>IF(ISBLANK(Table6[[#This Row],[ItemID]]), "", VLOOKUP(Table6[[#This Row],[Component]], ComponentData[], 6, FALSE))</f>
        <v>0</v>
      </c>
      <c r="J3" s="1">
        <f>SUMIFS(Table6[Total Consumption (W)], Table6[Supply ID], Table6[[#This Row],[ItemID]])</f>
        <v>1020</v>
      </c>
      <c r="K3" s="1">
        <f>Table6[[#This Row],[Self Consumption (W)]]+Table6[[#This Row],[Children Consumption (W)]]</f>
        <v>1020</v>
      </c>
    </row>
    <row r="4" spans="1:11" x14ac:dyDescent="0.25">
      <c r="A4" t="str">
        <f>ItemMap[[#This Row],[ItemID]]</f>
        <v>BackRight ESC</v>
      </c>
      <c r="B4" t="str">
        <f>IF(ISBLANK(Table6[[#This Row],[ItemID]]), "", VLOOKUP(Table6[[#This Row],[ItemID]], ItemMap[], 2, FALSE))</f>
        <v>VEX ESC</v>
      </c>
      <c r="C4" t="s">
        <v>18</v>
      </c>
      <c r="D4" t="str">
        <f>IF(ISBLANK(Table6[[#This Row],[Supply ID]]), "", VLOOKUP(Table6[[#This Row],[Supply ID]], ItemMap[], 2, FALSE))</f>
        <v>LiPo</v>
      </c>
      <c r="E4" s="1">
        <f>IF(ISBLANK(Table6[[#This Row],[Supply ID]]), 0,VLOOKUP(Table6[[#This Row],[Supply Component]], ComponentData[], 7, FALSE))</f>
        <v>12</v>
      </c>
      <c r="F4" s="1">
        <f>IF(Table6[[#This Row],[Input Voltage (V)]]&lt;=0, 0, Table6[[#This Row],[Total Consumption (W)]]/Table6[[#This Row],[Input Voltage (V)]])</f>
        <v>85</v>
      </c>
      <c r="G4">
        <f>IF(ISBLANK(Table6[[#This Row],[ItemID]]), "", VLOOKUP(Table6[[#This Row],[Component]], ComponentData[], 7, FALSE))</f>
        <v>12</v>
      </c>
      <c r="H4" s="1">
        <f>IF(Table6[[#This Row],[Output Voltage (V)]]&lt;=0, 0, Table6[[#This Row],[Children Consumption (W)]]/Table6[[#This Row],[Output Voltage (V)]])</f>
        <v>85</v>
      </c>
      <c r="I4">
        <f>IF(ISBLANK(Table6[[#This Row],[ItemID]]), "", VLOOKUP(Table6[[#This Row],[Component]], ComponentData[], 6, FALSE))</f>
        <v>0</v>
      </c>
      <c r="J4" s="1">
        <f>SUMIFS(Table6[Total Consumption (W)], Table6[Supply ID], Table6[[#This Row],[ItemID]])</f>
        <v>1020</v>
      </c>
      <c r="K4" s="1">
        <f>Table6[[#This Row],[Self Consumption (W)]]+Table6[[#This Row],[Children Consumption (W)]]</f>
        <v>1020</v>
      </c>
    </row>
    <row r="5" spans="1:11" x14ac:dyDescent="0.25">
      <c r="A5" t="str">
        <f>ItemMap[[#This Row],[ItemID]]</f>
        <v>FrontLeft ESC</v>
      </c>
      <c r="B5" t="str">
        <f>IF(ISBLANK(Table6[[#This Row],[ItemID]]), "", VLOOKUP(Table6[[#This Row],[ItemID]], ItemMap[], 2, FALSE))</f>
        <v>VEX ESC</v>
      </c>
      <c r="C5" t="s">
        <v>18</v>
      </c>
      <c r="D5" t="str">
        <f>IF(ISBLANK(Table6[[#This Row],[Supply ID]]), "", VLOOKUP(Table6[[#This Row],[Supply ID]], ItemMap[], 2, FALSE))</f>
        <v>LiPo</v>
      </c>
      <c r="E5" s="1">
        <f>IF(ISBLANK(Table6[[#This Row],[Supply ID]]), 0,VLOOKUP(Table6[[#This Row],[Supply Component]], ComponentData[], 7, FALSE))</f>
        <v>12</v>
      </c>
      <c r="F5" s="1">
        <f>IF(Table6[[#This Row],[Input Voltage (V)]]&lt;=0, 0, Table6[[#This Row],[Total Consumption (W)]]/Table6[[#This Row],[Input Voltage (V)]])</f>
        <v>85</v>
      </c>
      <c r="G5">
        <f>IF(ISBLANK(Table6[[#This Row],[ItemID]]), "", VLOOKUP(Table6[[#This Row],[Component]], ComponentData[], 7, FALSE))</f>
        <v>12</v>
      </c>
      <c r="H5" s="1">
        <f>IF(Table6[[#This Row],[Output Voltage (V)]]&lt;=0, 0, Table6[[#This Row],[Children Consumption (W)]]/Table6[[#This Row],[Output Voltage (V)]])</f>
        <v>85</v>
      </c>
      <c r="I5">
        <f>IF(ISBLANK(Table6[[#This Row],[ItemID]]), "", VLOOKUP(Table6[[#This Row],[Component]], ComponentData[], 6, FALSE))</f>
        <v>0</v>
      </c>
      <c r="J5" s="1">
        <f>SUMIFS(Table6[Total Consumption (W)], Table6[Supply ID], Table6[[#This Row],[ItemID]])</f>
        <v>1020</v>
      </c>
      <c r="K5" s="1">
        <f>Table6[[#This Row],[Self Consumption (W)]]+Table6[[#This Row],[Children Consumption (W)]]</f>
        <v>1020</v>
      </c>
    </row>
    <row r="6" spans="1:11" x14ac:dyDescent="0.25">
      <c r="A6" t="str">
        <f>ItemMap[[#This Row],[ItemID]]</f>
        <v>MidLeft ESC</v>
      </c>
      <c r="B6" t="str">
        <f>IF(ISBLANK(Table6[[#This Row],[ItemID]]), "", VLOOKUP(Table6[[#This Row],[ItemID]], ItemMap[], 2, FALSE))</f>
        <v>VEX ESC</v>
      </c>
      <c r="C6" t="s">
        <v>18</v>
      </c>
      <c r="D6" t="str">
        <f>IF(ISBLANK(Table6[[#This Row],[Supply ID]]), "", VLOOKUP(Table6[[#This Row],[Supply ID]], ItemMap[], 2, FALSE))</f>
        <v>LiPo</v>
      </c>
      <c r="E6" s="1">
        <f>IF(ISBLANK(Table6[[#This Row],[Supply ID]]), 0,VLOOKUP(Table6[[#This Row],[Supply Component]], ComponentData[], 7, FALSE))</f>
        <v>12</v>
      </c>
      <c r="F6" s="1">
        <f>IF(Table6[[#This Row],[Input Voltage (V)]]&lt;=0, 0, Table6[[#This Row],[Total Consumption (W)]]/Table6[[#This Row],[Input Voltage (V)]])</f>
        <v>85</v>
      </c>
      <c r="G6">
        <f>IF(ISBLANK(Table6[[#This Row],[ItemID]]), "", VLOOKUP(Table6[[#This Row],[Component]], ComponentData[], 7, FALSE))</f>
        <v>12</v>
      </c>
      <c r="H6" s="1">
        <f>IF(Table6[[#This Row],[Output Voltage (V)]]&lt;=0, 0, Table6[[#This Row],[Children Consumption (W)]]/Table6[[#This Row],[Output Voltage (V)]])</f>
        <v>85</v>
      </c>
      <c r="I6">
        <f>IF(ISBLANK(Table6[[#This Row],[ItemID]]), "", VLOOKUP(Table6[[#This Row],[Component]], ComponentData[], 6, FALSE))</f>
        <v>0</v>
      </c>
      <c r="J6" s="1">
        <f>SUMIFS(Table6[Total Consumption (W)], Table6[Supply ID], Table6[[#This Row],[ItemID]])</f>
        <v>1020</v>
      </c>
      <c r="K6" s="1">
        <f>Table6[[#This Row],[Self Consumption (W)]]+Table6[[#This Row],[Children Consumption (W)]]</f>
        <v>1020</v>
      </c>
    </row>
    <row r="7" spans="1:11" x14ac:dyDescent="0.25">
      <c r="A7" t="str">
        <f>ItemMap[[#This Row],[ItemID]]</f>
        <v>BackLeft ESC</v>
      </c>
      <c r="B7" t="str">
        <f>IF(ISBLANK(Table6[[#This Row],[ItemID]]), "", VLOOKUP(Table6[[#This Row],[ItemID]], ItemMap[], 2, FALSE))</f>
        <v>VEX ESC</v>
      </c>
      <c r="C7" t="s">
        <v>18</v>
      </c>
      <c r="D7" t="str">
        <f>IF(ISBLANK(Table6[[#This Row],[Supply ID]]), "", VLOOKUP(Table6[[#This Row],[Supply ID]], ItemMap[], 2, FALSE))</f>
        <v>LiPo</v>
      </c>
      <c r="E7" s="1">
        <f>IF(ISBLANK(Table6[[#This Row],[Supply ID]]), 0,VLOOKUP(Table6[[#This Row],[Supply Component]], ComponentData[], 7, FALSE))</f>
        <v>12</v>
      </c>
      <c r="F7" s="1">
        <f>IF(Table6[[#This Row],[Input Voltage (V)]]&lt;=0, 0, Table6[[#This Row],[Total Consumption (W)]]/Table6[[#This Row],[Input Voltage (V)]])</f>
        <v>85</v>
      </c>
      <c r="G7">
        <f>IF(ISBLANK(Table6[[#This Row],[ItemID]]), "", VLOOKUP(Table6[[#This Row],[Component]], ComponentData[], 7, FALSE))</f>
        <v>12</v>
      </c>
      <c r="H7" s="1">
        <f>IF(Table6[[#This Row],[Output Voltage (V)]]&lt;=0, 0, Table6[[#This Row],[Children Consumption (W)]]/Table6[[#This Row],[Output Voltage (V)]])</f>
        <v>85</v>
      </c>
      <c r="I7">
        <f>IF(ISBLANK(Table6[[#This Row],[ItemID]]), "", VLOOKUP(Table6[[#This Row],[Component]], ComponentData[], 6, FALSE))</f>
        <v>0</v>
      </c>
      <c r="J7" s="1">
        <f>SUMIFS(Table6[Total Consumption (W)], Table6[Supply ID], Table6[[#This Row],[ItemID]])</f>
        <v>1020</v>
      </c>
      <c r="K7" s="1">
        <f>Table6[[#This Row],[Self Consumption (W)]]+Table6[[#This Row],[Children Consumption (W)]]</f>
        <v>1020</v>
      </c>
    </row>
    <row r="8" spans="1:11" x14ac:dyDescent="0.25">
      <c r="A8" t="str">
        <f>ItemMap[[#This Row],[ItemID]]</f>
        <v>Battery Pack</v>
      </c>
      <c r="B8" t="str">
        <f>IF(ISBLANK(Table6[[#This Row],[ItemID]]), "", VLOOKUP(Table6[[#This Row],[ItemID]], ItemMap[], 2, FALSE))</f>
        <v>LiPo</v>
      </c>
      <c r="D8" t="str">
        <f>IF(ISBLANK(Table6[[#This Row],[Supply ID]]), "", VLOOKUP(Table6[[#This Row],[Supply ID]], ItemMap[], 2, FALSE))</f>
        <v/>
      </c>
      <c r="E8" s="1">
        <f>IF(ISBLANK(Table6[[#This Row],[Supply ID]]), 0,VLOOKUP(Table6[[#This Row],[Supply Component]], ComponentData[], 7, FALSE))</f>
        <v>0</v>
      </c>
      <c r="F8" s="1">
        <f>IF(Table6[[#This Row],[Input Voltage (V)]]&lt;=0, 0, Table6[[#This Row],[Total Consumption (W)]]/Table6[[#This Row],[Input Voltage (V)]])</f>
        <v>0</v>
      </c>
      <c r="G8">
        <f>IF(ISBLANK(Table6[[#This Row],[ItemID]]), "", VLOOKUP(Table6[[#This Row],[Component]], ComponentData[], 7, FALSE))</f>
        <v>12</v>
      </c>
      <c r="H8" s="1">
        <f>IF(Table6[[#This Row],[Output Voltage (V)]]&lt;=0, 0, Table6[[#This Row],[Children Consumption (W)]]/Table6[[#This Row],[Output Voltage (V)]])</f>
        <v>510.58333333333331</v>
      </c>
      <c r="I8">
        <f>IF(ISBLANK(Table6[[#This Row],[ItemID]]), "", VLOOKUP(Table6[[#This Row],[Component]], ComponentData[], 6, FALSE))</f>
        <v>-8000</v>
      </c>
      <c r="J8" s="1">
        <f>SUMIFS(Table6[Total Consumption (W)], Table6[Supply ID], Table6[[#This Row],[ItemID]])</f>
        <v>6127</v>
      </c>
      <c r="K8" s="1">
        <f>Table6[[#This Row],[Self Consumption (W)]]+Table6[[#This Row],[Children Consumption (W)]]</f>
        <v>-1873</v>
      </c>
    </row>
    <row r="9" spans="1:11" x14ac:dyDescent="0.25">
      <c r="A9" t="str">
        <f>ItemMap[[#This Row],[ItemID]]</f>
        <v>FrontRight Motor</v>
      </c>
      <c r="B9" t="str">
        <f>IF(ISBLANK(Table6[[#This Row],[ItemID]]), "", VLOOKUP(Table6[[#This Row],[ItemID]], ItemMap[], 2, FALSE))</f>
        <v>Motor</v>
      </c>
      <c r="C9" t="s">
        <v>23</v>
      </c>
      <c r="D9" t="str">
        <f>IF(ISBLANK(Table6[[#This Row],[Supply ID]]), "", VLOOKUP(Table6[[#This Row],[Supply ID]], ItemMap[], 2, FALSE))</f>
        <v>VEX ESC</v>
      </c>
      <c r="E9" s="1">
        <f>IF(ISBLANK(Table6[[#This Row],[Supply ID]]), 0,VLOOKUP(Table6[[#This Row],[Supply Component]], ComponentData[], 7, FALSE))</f>
        <v>12</v>
      </c>
      <c r="F9" s="1">
        <f>IF(Table6[[#This Row],[Input Voltage (V)]]&lt;=0, 0, Table6[[#This Row],[Total Consumption (W)]]/Table6[[#This Row],[Input Voltage (V)]])</f>
        <v>85</v>
      </c>
      <c r="G9">
        <f>IF(ISBLANK(Table6[[#This Row],[ItemID]]), "", VLOOKUP(Table6[[#This Row],[Component]], ComponentData[], 7, FALSE))</f>
        <v>0</v>
      </c>
      <c r="H9" s="1">
        <f>IF(Table6[[#This Row],[Output Voltage (V)]]&lt;=0, 0, Table6[[#This Row],[Children Consumption (W)]]/Table6[[#This Row],[Output Voltage (V)]])</f>
        <v>0</v>
      </c>
      <c r="I9">
        <f>IF(ISBLANK(Table6[[#This Row],[ItemID]]), "", VLOOKUP(Table6[[#This Row],[Component]], ComponentData[], 6, FALSE))</f>
        <v>1020</v>
      </c>
      <c r="J9" s="1">
        <f>SUMIFS(Table6[Total Consumption (W)], Table6[Supply ID], Table6[[#This Row],[ItemID]])</f>
        <v>0</v>
      </c>
      <c r="K9" s="1">
        <f>Table6[[#This Row],[Self Consumption (W)]]+Table6[[#This Row],[Children Consumption (W)]]</f>
        <v>1020</v>
      </c>
    </row>
    <row r="10" spans="1:11" x14ac:dyDescent="0.25">
      <c r="A10" t="str">
        <f>ItemMap[[#This Row],[ItemID]]</f>
        <v>MidRight Motor</v>
      </c>
      <c r="B10" t="str">
        <f>IF(ISBLANK(Table6[[#This Row],[ItemID]]), "", VLOOKUP(Table6[[#This Row],[ItemID]], ItemMap[], 2, FALSE))</f>
        <v>Motor</v>
      </c>
      <c r="C10" t="s">
        <v>24</v>
      </c>
      <c r="D10" t="str">
        <f>IF(ISBLANK(Table6[[#This Row],[Supply ID]]), "", VLOOKUP(Table6[[#This Row],[Supply ID]], ItemMap[], 2, FALSE))</f>
        <v>VEX ESC</v>
      </c>
      <c r="E10" s="1">
        <f>IF(ISBLANK(Table6[[#This Row],[Supply ID]]), 0,VLOOKUP(Table6[[#This Row],[Supply Component]], ComponentData[], 7, FALSE))</f>
        <v>12</v>
      </c>
      <c r="F10" s="1">
        <f>IF(Table6[[#This Row],[Input Voltage (V)]]&lt;=0, 0, Table6[[#This Row],[Total Consumption (W)]]/Table6[[#This Row],[Input Voltage (V)]])</f>
        <v>85</v>
      </c>
      <c r="G10">
        <f>IF(ISBLANK(Table6[[#This Row],[ItemID]]), "", VLOOKUP(Table6[[#This Row],[Component]], ComponentData[], 7, FALSE))</f>
        <v>0</v>
      </c>
      <c r="H10" s="1">
        <f>IF(Table6[[#This Row],[Output Voltage (V)]]&lt;=0, 0, Table6[[#This Row],[Children Consumption (W)]]/Table6[[#This Row],[Output Voltage (V)]])</f>
        <v>0</v>
      </c>
      <c r="I10">
        <f>IF(ISBLANK(Table6[[#This Row],[ItemID]]), "", VLOOKUP(Table6[[#This Row],[Component]], ComponentData[], 6, FALSE))</f>
        <v>1020</v>
      </c>
      <c r="J10" s="1">
        <f>SUMIFS(Table6[Total Consumption (W)], Table6[Supply ID], Table6[[#This Row],[ItemID]])</f>
        <v>0</v>
      </c>
      <c r="K10" s="1">
        <f>Table6[[#This Row],[Self Consumption (W)]]+Table6[[#This Row],[Children Consumption (W)]]</f>
        <v>1020</v>
      </c>
    </row>
    <row r="11" spans="1:11" x14ac:dyDescent="0.25">
      <c r="A11" t="str">
        <f>ItemMap[[#This Row],[ItemID]]</f>
        <v>BackRight Motor</v>
      </c>
      <c r="B11" t="str">
        <f>IF(ISBLANK(Table6[[#This Row],[ItemID]]), "", VLOOKUP(Table6[[#This Row],[ItemID]], ItemMap[], 2, FALSE))</f>
        <v>Motor</v>
      </c>
      <c r="C11" t="s">
        <v>25</v>
      </c>
      <c r="D11" t="str">
        <f>IF(ISBLANK(Table6[[#This Row],[Supply ID]]), "", VLOOKUP(Table6[[#This Row],[Supply ID]], ItemMap[], 2, FALSE))</f>
        <v>VEX ESC</v>
      </c>
      <c r="E11" s="1">
        <f>IF(ISBLANK(Table6[[#This Row],[Supply ID]]), 0,VLOOKUP(Table6[[#This Row],[Supply Component]], ComponentData[], 7, FALSE))</f>
        <v>12</v>
      </c>
      <c r="F11" s="1">
        <f>IF(Table6[[#This Row],[Input Voltage (V)]]&lt;=0, 0, Table6[[#This Row],[Total Consumption (W)]]/Table6[[#This Row],[Input Voltage (V)]])</f>
        <v>85</v>
      </c>
      <c r="G11">
        <f>IF(ISBLANK(Table6[[#This Row],[ItemID]]), "", VLOOKUP(Table6[[#This Row],[Component]], ComponentData[], 7, FALSE))</f>
        <v>0</v>
      </c>
      <c r="H11" s="1">
        <f>IF(Table6[[#This Row],[Output Voltage (V)]]&lt;=0, 0, Table6[[#This Row],[Children Consumption (W)]]/Table6[[#This Row],[Output Voltage (V)]])</f>
        <v>0</v>
      </c>
      <c r="I11">
        <f>IF(ISBLANK(Table6[[#This Row],[ItemID]]), "", VLOOKUP(Table6[[#This Row],[Component]], ComponentData[], 6, FALSE))</f>
        <v>1020</v>
      </c>
      <c r="J11" s="1">
        <f>SUMIFS(Table6[Total Consumption (W)], Table6[Supply ID], Table6[[#This Row],[ItemID]])</f>
        <v>0</v>
      </c>
      <c r="K11" s="1">
        <f>Table6[[#This Row],[Self Consumption (W)]]+Table6[[#This Row],[Children Consumption (W)]]</f>
        <v>1020</v>
      </c>
    </row>
    <row r="12" spans="1:11" x14ac:dyDescent="0.25">
      <c r="A12" t="str">
        <f>ItemMap[[#This Row],[ItemID]]</f>
        <v>FrontLeft Motor</v>
      </c>
      <c r="B12" t="str">
        <f>IF(ISBLANK(Table6[[#This Row],[ItemID]]), "", VLOOKUP(Table6[[#This Row],[ItemID]], ItemMap[], 2, FALSE))</f>
        <v>Motor</v>
      </c>
      <c r="C12" t="s">
        <v>26</v>
      </c>
      <c r="D12" t="str">
        <f>IF(ISBLANK(Table6[[#This Row],[Supply ID]]), "", VLOOKUP(Table6[[#This Row],[Supply ID]], ItemMap[], 2, FALSE))</f>
        <v>VEX ESC</v>
      </c>
      <c r="E12" s="1">
        <f>IF(ISBLANK(Table6[[#This Row],[Supply ID]]), 0,VLOOKUP(Table6[[#This Row],[Supply Component]], ComponentData[], 7, FALSE))</f>
        <v>12</v>
      </c>
      <c r="F12" s="1">
        <f>IF(Table6[[#This Row],[Input Voltage (V)]]&lt;=0, 0, Table6[[#This Row],[Total Consumption (W)]]/Table6[[#This Row],[Input Voltage (V)]])</f>
        <v>85</v>
      </c>
      <c r="G12">
        <f>IF(ISBLANK(Table6[[#This Row],[ItemID]]), "", VLOOKUP(Table6[[#This Row],[Component]], ComponentData[], 7, FALSE))</f>
        <v>0</v>
      </c>
      <c r="H12" s="1">
        <f>IF(Table6[[#This Row],[Output Voltage (V)]]&lt;=0, 0, Table6[[#This Row],[Children Consumption (W)]]/Table6[[#This Row],[Output Voltage (V)]])</f>
        <v>0</v>
      </c>
      <c r="I12">
        <f>IF(ISBLANK(Table6[[#This Row],[ItemID]]), "", VLOOKUP(Table6[[#This Row],[Component]], ComponentData[], 6, FALSE))</f>
        <v>1020</v>
      </c>
      <c r="J12" s="1">
        <f>SUMIFS(Table6[Total Consumption (W)], Table6[Supply ID], Table6[[#This Row],[ItemID]])</f>
        <v>0</v>
      </c>
      <c r="K12" s="1">
        <f>Table6[[#This Row],[Self Consumption (W)]]+Table6[[#This Row],[Children Consumption (W)]]</f>
        <v>1020</v>
      </c>
    </row>
    <row r="13" spans="1:11" x14ac:dyDescent="0.25">
      <c r="A13" t="str">
        <f>ItemMap[[#This Row],[ItemID]]</f>
        <v>MidLeft Motor</v>
      </c>
      <c r="B13" t="str">
        <f>IF(ISBLANK(Table6[[#This Row],[ItemID]]), "", VLOOKUP(Table6[[#This Row],[ItemID]], ItemMap[], 2, FALSE))</f>
        <v>Motor</v>
      </c>
      <c r="C13" t="s">
        <v>27</v>
      </c>
      <c r="D13" t="str">
        <f>IF(ISBLANK(Table6[[#This Row],[Supply ID]]), "", VLOOKUP(Table6[[#This Row],[Supply ID]], ItemMap[], 2, FALSE))</f>
        <v>VEX ESC</v>
      </c>
      <c r="E13" s="1">
        <f>IF(ISBLANK(Table6[[#This Row],[Supply ID]]), 0,VLOOKUP(Table6[[#This Row],[Supply Component]], ComponentData[], 7, FALSE))</f>
        <v>12</v>
      </c>
      <c r="F13" s="1">
        <f>IF(Table6[[#This Row],[Input Voltage (V)]]&lt;=0, 0, Table6[[#This Row],[Total Consumption (W)]]/Table6[[#This Row],[Input Voltage (V)]])</f>
        <v>85</v>
      </c>
      <c r="G13">
        <f>IF(ISBLANK(Table6[[#This Row],[ItemID]]), "", VLOOKUP(Table6[[#This Row],[Component]], ComponentData[], 7, FALSE))</f>
        <v>0</v>
      </c>
      <c r="H13" s="1">
        <f>IF(Table6[[#This Row],[Output Voltage (V)]]&lt;=0, 0, Table6[[#This Row],[Children Consumption (W)]]/Table6[[#This Row],[Output Voltage (V)]])</f>
        <v>0</v>
      </c>
      <c r="I13">
        <f>IF(ISBLANK(Table6[[#This Row],[ItemID]]), "", VLOOKUP(Table6[[#This Row],[Component]], ComponentData[], 6, FALSE))</f>
        <v>1020</v>
      </c>
      <c r="J13" s="1">
        <f>SUMIFS(Table6[Total Consumption (W)], Table6[Supply ID], Table6[[#This Row],[ItemID]])</f>
        <v>0</v>
      </c>
      <c r="K13" s="1">
        <f>Table6[[#This Row],[Self Consumption (W)]]+Table6[[#This Row],[Children Consumption (W)]]</f>
        <v>1020</v>
      </c>
    </row>
    <row r="14" spans="1:11" x14ac:dyDescent="0.25">
      <c r="A14" t="str">
        <f>ItemMap[[#This Row],[ItemID]]</f>
        <v>BackLeft Motor</v>
      </c>
      <c r="B14" t="str">
        <f>IF(ISBLANK(Table6[[#This Row],[ItemID]]), "", VLOOKUP(Table6[[#This Row],[ItemID]], ItemMap[], 2, FALSE))</f>
        <v>Motor</v>
      </c>
      <c r="C14" t="s">
        <v>28</v>
      </c>
      <c r="D14" t="str">
        <f>IF(ISBLANK(Table6[[#This Row],[Supply ID]]), "", VLOOKUP(Table6[[#This Row],[Supply ID]], ItemMap[], 2, FALSE))</f>
        <v>VEX ESC</v>
      </c>
      <c r="E14" s="1">
        <f>IF(ISBLANK(Table6[[#This Row],[Supply ID]]), 0,VLOOKUP(Table6[[#This Row],[Supply Component]], ComponentData[], 7, FALSE))</f>
        <v>12</v>
      </c>
      <c r="F14" s="1">
        <f>IF(Table6[[#This Row],[Input Voltage (V)]]&lt;=0, 0, Table6[[#This Row],[Total Consumption (W)]]/Table6[[#This Row],[Input Voltage (V)]])</f>
        <v>85</v>
      </c>
      <c r="G14">
        <f>IF(ISBLANK(Table6[[#This Row],[ItemID]]), "", VLOOKUP(Table6[[#This Row],[Component]], ComponentData[], 7, FALSE))</f>
        <v>0</v>
      </c>
      <c r="H14" s="1">
        <f>IF(Table6[[#This Row],[Output Voltage (V)]]&lt;=0, 0, Table6[[#This Row],[Children Consumption (W)]]/Table6[[#This Row],[Output Voltage (V)]])</f>
        <v>0</v>
      </c>
      <c r="I14">
        <f>IF(ISBLANK(Table6[[#This Row],[ItemID]]), "", VLOOKUP(Table6[[#This Row],[Component]], ComponentData[], 6, FALSE))</f>
        <v>1020</v>
      </c>
      <c r="J14" s="1">
        <f>SUMIFS(Table6[Total Consumption (W)], Table6[Supply ID], Table6[[#This Row],[ItemID]])</f>
        <v>0</v>
      </c>
      <c r="K14" s="1">
        <f>Table6[[#This Row],[Self Consumption (W)]]+Table6[[#This Row],[Children Consumption (W)]]</f>
        <v>1020</v>
      </c>
    </row>
    <row r="15" spans="1:11" x14ac:dyDescent="0.25">
      <c r="A15" t="str">
        <f>ItemMap[[#This Row],[ItemID]]</f>
        <v>Logic Supply</v>
      </c>
      <c r="B15" s="1" t="str">
        <f>IF(ISBLANK(Table6[[#This Row],[ItemID]]), "", VLOOKUP(Table6[[#This Row],[ItemID]], ItemMap[], 2, FALSE))</f>
        <v>5V Regulator</v>
      </c>
      <c r="C15" s="1" t="s">
        <v>18</v>
      </c>
      <c r="D15" s="1" t="str">
        <f>IF(ISBLANK(Table6[[#This Row],[Supply ID]]), "", VLOOKUP(Table6[[#This Row],[Supply ID]], ItemMap[], 2, FALSE))</f>
        <v>LiPo</v>
      </c>
      <c r="E15" s="1">
        <f>IF(ISBLANK(Table6[[#This Row],[Supply ID]]), 0,VLOOKUP(Table6[[#This Row],[Supply Component]], ComponentData[], 7, FALSE))</f>
        <v>12</v>
      </c>
      <c r="F15" s="1">
        <f>IF(Table6[[#This Row],[Input Voltage (V)]]&lt;=0, 0, Table6[[#This Row],[Total Consumption (W)]]/Table6[[#This Row],[Input Voltage (V)]])</f>
        <v>0.58333333333333337</v>
      </c>
      <c r="G15" s="1">
        <f>IF(ISBLANK(Table6[[#This Row],[ItemID]]), "", VLOOKUP(Table6[[#This Row],[Component]], ComponentData[], 7, FALSE))</f>
        <v>5</v>
      </c>
      <c r="H15" s="1">
        <f>IF(Table6[[#This Row],[Output Voltage (V)]]&lt;=0, 0, Table6[[#This Row],[Children Consumption (W)]]/Table6[[#This Row],[Output Voltage (V)]])</f>
        <v>1.4</v>
      </c>
      <c r="I15" s="1">
        <f>IF(ISBLANK(Table6[[#This Row],[ItemID]]), "", VLOOKUP(Table6[[#This Row],[Component]], ComponentData[], 6, FALSE))</f>
        <v>0</v>
      </c>
      <c r="J15" s="1">
        <f>SUMIFS(Table6[Total Consumption (W)], Table6[Supply ID], Table6[[#This Row],[ItemID]])</f>
        <v>7</v>
      </c>
      <c r="K15" s="1">
        <f>Table6[[#This Row],[Self Consumption (W)]]+Table6[[#This Row],[Children Consumption (W)]]</f>
        <v>7</v>
      </c>
    </row>
    <row r="16" spans="1:11" x14ac:dyDescent="0.25">
      <c r="A16" t="str">
        <f>ItemMap[[#This Row],[ItemID]]</f>
        <v>Master Control</v>
      </c>
      <c r="B16" s="1" t="str">
        <f>IF(ISBLANK(Table6[[#This Row],[ItemID]]), "", VLOOKUP(Table6[[#This Row],[ItemID]], ItemMap[], 2, FALSE))</f>
        <v>Raspberry Pi</v>
      </c>
      <c r="C16" s="1" t="s">
        <v>45</v>
      </c>
      <c r="D16" s="1" t="str">
        <f>IF(ISBLANK(Table6[[#This Row],[Supply ID]]), "", VLOOKUP(Table6[[#This Row],[Supply ID]], ItemMap[], 2, FALSE))</f>
        <v>5V Regulator</v>
      </c>
      <c r="E16" s="1">
        <f>IF(ISBLANK(Table6[[#This Row],[Supply ID]]), 0,VLOOKUP(Table6[[#This Row],[Supply Component]], ComponentData[], 7, FALSE))</f>
        <v>5</v>
      </c>
      <c r="F16" s="1">
        <f>IF(Table6[[#This Row],[Input Voltage (V)]]&lt;=0, 0, Table6[[#This Row],[Total Consumption (W)]]/Table6[[#This Row],[Input Voltage (V)]])</f>
        <v>1.4</v>
      </c>
      <c r="G16" s="1">
        <f>IF(ISBLANK(Table6[[#This Row],[ItemID]]), "", VLOOKUP(Table6[[#This Row],[Component]], ComponentData[], 7, FALSE))</f>
        <v>3.3</v>
      </c>
      <c r="H16" s="1">
        <f>IF(Table6[[#This Row],[Output Voltage (V)]]&lt;=0, 0, Table6[[#This Row],[Children Consumption (W)]]/Table6[[#This Row],[Output Voltage (V)]])</f>
        <v>0</v>
      </c>
      <c r="I16" s="1">
        <f>IF(ISBLANK(Table6[[#This Row],[ItemID]]), "", VLOOKUP(Table6[[#This Row],[Component]], ComponentData[], 6, FALSE))</f>
        <v>7</v>
      </c>
      <c r="J16" s="1">
        <f>SUMIFS(Table6[Total Consumption (W)], Table6[Supply ID], Table6[[#This Row],[ItemID]])</f>
        <v>0</v>
      </c>
      <c r="K16" s="1">
        <f>Table6[[#This Row],[Self Consumption (W)]]+Table6[[#This Row],[Children Consumption (W)]]</f>
        <v>7</v>
      </c>
    </row>
  </sheetData>
  <dataValidations count="1">
    <dataValidation type="list" allowBlank="1" showInputMessage="1" showErrorMessage="1" sqref="A2:A16">
      <formula1>ItemIDs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tabSelected="1" workbookViewId="0">
      <selection activeCell="F16" sqref="F16"/>
    </sheetView>
  </sheetViews>
  <sheetFormatPr defaultRowHeight="15" x14ac:dyDescent="0.25"/>
  <cols>
    <col min="1" max="1" width="16.28515625" bestFit="1" customWidth="1"/>
    <col min="2" max="2" width="13.7109375" bestFit="1" customWidth="1"/>
    <col min="3" max="3" width="27" bestFit="1" customWidth="1"/>
    <col min="4" max="4" width="18.140625" bestFit="1" customWidth="1"/>
  </cols>
  <sheetData>
    <row r="1" spans="1:4" x14ac:dyDescent="0.25">
      <c r="A1" t="s">
        <v>14</v>
      </c>
      <c r="B1" t="s">
        <v>1</v>
      </c>
      <c r="C1" t="s">
        <v>49</v>
      </c>
      <c r="D1" t="s">
        <v>50</v>
      </c>
    </row>
    <row r="2" spans="1:4" x14ac:dyDescent="0.25">
      <c r="A2" t="str">
        <f>ItemMap[[#This Row],[ItemID]]</f>
        <v>FrontRight ESC</v>
      </c>
      <c r="B2" t="str">
        <f>IF(ISBLANK(Table6[[#This Row],[ItemID]]), "", VLOOKUP(Table6[[#This Row],[ItemID]], ItemMap[], 2, FALSE))</f>
        <v>VEX ESC</v>
      </c>
      <c r="C2" s="6">
        <f>IF(VLOOKUP(Table7[[#This Row],[Component]], ComponentData[], 8, FALSE)&gt;0, VLOOKUP(Table7[[#This Row],[ItemID]], Elaboration, 8, FALSE)/VLOOKUP(Table7[[#This Row],[Component]], ComponentData[], 8, FALSE), 0)</f>
        <v>1.4166666666666667</v>
      </c>
      <c r="D2" s="5" t="str">
        <f>IF(VLOOKUP(Table7[[#This Row],[Component]], ComponentData[], 9, FALSE)&gt;0, VLOOKUP(Table7[[#This Row],[Component]], ComponentData[], 9, FALSE)/(VLOOKUP(Table7[[#This Row],[ItemID]], Elaboration, 8, FALSE)-VLOOKUP(Table7[[#This Row],[ItemID]], Elaboration, 6, FALSE)), "")</f>
        <v/>
      </c>
    </row>
    <row r="3" spans="1:4" x14ac:dyDescent="0.25">
      <c r="A3" t="str">
        <f>ItemMap[[#This Row],[ItemID]]</f>
        <v>MidRight ESC</v>
      </c>
      <c r="B3" t="str">
        <f>IF(ISBLANK(Table6[[#This Row],[ItemID]]), "", VLOOKUP(Table6[[#This Row],[ItemID]], ItemMap[], 2, FALSE))</f>
        <v>VEX ESC</v>
      </c>
      <c r="C3" s="6">
        <f>IF(VLOOKUP(Table7[[#This Row],[Component]], ComponentData[], 8, FALSE)&gt;0, VLOOKUP(Table7[[#This Row],[ItemID]], Elaboration, 8, FALSE)/VLOOKUP(Table7[[#This Row],[Component]], ComponentData[], 8, FALSE), 0)</f>
        <v>1.4166666666666667</v>
      </c>
      <c r="D3" s="5" t="str">
        <f>IF(VLOOKUP(Table7[[#This Row],[Component]], ComponentData[], 9, FALSE)&gt;0, VLOOKUP(Table7[[#This Row],[Component]], ComponentData[], 9, FALSE)/(VLOOKUP(Table7[[#This Row],[ItemID]], Elaboration, 8, FALSE)-VLOOKUP(Table7[[#This Row],[ItemID]], Elaboration, 6, FALSE)), "")</f>
        <v/>
      </c>
    </row>
    <row r="4" spans="1:4" x14ac:dyDescent="0.25">
      <c r="A4" t="str">
        <f>ItemMap[[#This Row],[ItemID]]</f>
        <v>BackRight ESC</v>
      </c>
      <c r="B4" t="str">
        <f>IF(ISBLANK(Table6[[#This Row],[ItemID]]), "", VLOOKUP(Table6[[#This Row],[ItemID]], ItemMap[], 2, FALSE))</f>
        <v>VEX ESC</v>
      </c>
      <c r="C4" s="6">
        <f>IF(VLOOKUP(Table7[[#This Row],[Component]], ComponentData[], 8, FALSE)&gt;0, VLOOKUP(Table7[[#This Row],[ItemID]], Elaboration, 8, FALSE)/VLOOKUP(Table7[[#This Row],[Component]], ComponentData[], 8, FALSE), 0)</f>
        <v>1.4166666666666667</v>
      </c>
      <c r="D4" s="5" t="str">
        <f>IF(VLOOKUP(Table7[[#This Row],[Component]], ComponentData[], 9, FALSE)&gt;0, VLOOKUP(Table7[[#This Row],[Component]], ComponentData[], 9, FALSE)/(VLOOKUP(Table7[[#This Row],[ItemID]], Elaboration, 8, FALSE)-VLOOKUP(Table7[[#This Row],[ItemID]], Elaboration, 6, FALSE)), "")</f>
        <v/>
      </c>
    </row>
    <row r="5" spans="1:4" x14ac:dyDescent="0.25">
      <c r="A5" t="str">
        <f>ItemMap[[#This Row],[ItemID]]</f>
        <v>FrontLeft ESC</v>
      </c>
      <c r="B5" t="str">
        <f>IF(ISBLANK(Table6[[#This Row],[ItemID]]), "", VLOOKUP(Table6[[#This Row],[ItemID]], ItemMap[], 2, FALSE))</f>
        <v>VEX ESC</v>
      </c>
      <c r="C5" s="6">
        <f>IF(VLOOKUP(Table7[[#This Row],[Component]], ComponentData[], 8, FALSE)&gt;0, VLOOKUP(Table7[[#This Row],[ItemID]], Elaboration, 8, FALSE)/VLOOKUP(Table7[[#This Row],[Component]], ComponentData[], 8, FALSE), 0)</f>
        <v>1.4166666666666667</v>
      </c>
      <c r="D5" s="5" t="str">
        <f>IF(VLOOKUP(Table7[[#This Row],[Component]], ComponentData[], 9, FALSE)&gt;0, VLOOKUP(Table7[[#This Row],[Component]], ComponentData[], 9, FALSE)/(VLOOKUP(Table7[[#This Row],[ItemID]], Elaboration, 8, FALSE)-VLOOKUP(Table7[[#This Row],[ItemID]], Elaboration, 6, FALSE)), "")</f>
        <v/>
      </c>
    </row>
    <row r="6" spans="1:4" x14ac:dyDescent="0.25">
      <c r="A6" t="str">
        <f>ItemMap[[#This Row],[ItemID]]</f>
        <v>MidLeft ESC</v>
      </c>
      <c r="B6" t="str">
        <f>IF(ISBLANK(Table6[[#This Row],[ItemID]]), "", VLOOKUP(Table6[[#This Row],[ItemID]], ItemMap[], 2, FALSE))</f>
        <v>VEX ESC</v>
      </c>
      <c r="C6" s="6">
        <f>IF(VLOOKUP(Table7[[#This Row],[Component]], ComponentData[], 8, FALSE)&gt;0, VLOOKUP(Table7[[#This Row],[ItemID]], Elaboration, 8, FALSE)/VLOOKUP(Table7[[#This Row],[Component]], ComponentData[], 8, FALSE), 0)</f>
        <v>1.4166666666666667</v>
      </c>
      <c r="D6" s="5" t="str">
        <f>IF(VLOOKUP(Table7[[#This Row],[Component]], ComponentData[], 9, FALSE)&gt;0, VLOOKUP(Table7[[#This Row],[Component]], ComponentData[], 9, FALSE)/(VLOOKUP(Table7[[#This Row],[ItemID]], Elaboration, 8, FALSE)-VLOOKUP(Table7[[#This Row],[ItemID]], Elaboration, 6, FALSE)), "")</f>
        <v/>
      </c>
    </row>
    <row r="7" spans="1:4" x14ac:dyDescent="0.25">
      <c r="A7" t="str">
        <f>ItemMap[[#This Row],[ItemID]]</f>
        <v>BackLeft ESC</v>
      </c>
      <c r="B7" t="str">
        <f>IF(ISBLANK(Table6[[#This Row],[ItemID]]), "", VLOOKUP(Table6[[#This Row],[ItemID]], ItemMap[], 2, FALSE))</f>
        <v>VEX ESC</v>
      </c>
      <c r="C7" s="6">
        <f>IF(VLOOKUP(Table7[[#This Row],[Component]], ComponentData[], 8, FALSE)&gt;0, VLOOKUP(Table7[[#This Row],[ItemID]], Elaboration, 8, FALSE)/VLOOKUP(Table7[[#This Row],[Component]], ComponentData[], 8, FALSE), 0)</f>
        <v>1.4166666666666667</v>
      </c>
      <c r="D7" s="5" t="str">
        <f>IF(VLOOKUP(Table7[[#This Row],[Component]], ComponentData[], 9, FALSE)&gt;0, VLOOKUP(Table7[[#This Row],[Component]], ComponentData[], 9, FALSE)/(VLOOKUP(Table7[[#This Row],[ItemID]], Elaboration, 8, FALSE)-VLOOKUP(Table7[[#This Row],[ItemID]], Elaboration, 6, FALSE)), "")</f>
        <v/>
      </c>
    </row>
    <row r="8" spans="1:4" x14ac:dyDescent="0.25">
      <c r="A8" t="str">
        <f>ItemMap[[#This Row],[ItemID]]</f>
        <v>Battery Pack</v>
      </c>
      <c r="B8" t="str">
        <f>IF(ISBLANK(Table6[[#This Row],[ItemID]]), "", VLOOKUP(Table6[[#This Row],[ItemID]], ItemMap[], 2, FALSE))</f>
        <v>LiPo</v>
      </c>
      <c r="C8" s="6">
        <f>IF(VLOOKUP(Table7[[#This Row],[Component]], ComponentData[], 8, FALSE)&gt;0, VLOOKUP(Table7[[#This Row],[ItemID]], Elaboration, 8, FALSE)/VLOOKUP(Table7[[#This Row],[Component]], ComponentData[], 8, FALSE), 0)</f>
        <v>0.51058333333333328</v>
      </c>
      <c r="D8" s="5">
        <f>IF(VLOOKUP(Table7[[#This Row],[Component]], ComponentData[], 9, FALSE)&gt;0, VLOOKUP(Table7[[#This Row],[Component]], ComponentData[], 9, FALSE)/(VLOOKUP(Table7[[#This Row],[ItemID]], Elaboration, 8, FALSE)-VLOOKUP(Table7[[#This Row],[ItemID]], Elaboration, 6, FALSE)), "")</f>
        <v>9.7927207442467772</v>
      </c>
    </row>
    <row r="9" spans="1:4" x14ac:dyDescent="0.25">
      <c r="A9" t="str">
        <f>ItemMap[[#This Row],[ItemID]]</f>
        <v>FrontRight Motor</v>
      </c>
      <c r="B9" t="str">
        <f>IF(ISBLANK(Table6[[#This Row],[ItemID]]), "", VLOOKUP(Table6[[#This Row],[ItemID]], ItemMap[], 2, FALSE))</f>
        <v>Motor</v>
      </c>
      <c r="C9" s="6">
        <f>IF(VLOOKUP(Table7[[#This Row],[Component]], ComponentData[], 8, FALSE)&gt;0, VLOOKUP(Table7[[#This Row],[ItemID]], Elaboration, 8, FALSE)/VLOOKUP(Table7[[#This Row],[Component]], ComponentData[], 8, FALSE), 0)</f>
        <v>0</v>
      </c>
      <c r="D9" s="5" t="str">
        <f>IF(VLOOKUP(Table7[[#This Row],[Component]], ComponentData[], 9, FALSE)&gt;0, VLOOKUP(Table7[[#This Row],[Component]], ComponentData[], 9, FALSE)/(VLOOKUP(Table7[[#This Row],[ItemID]], Elaboration, 8, FALSE)-VLOOKUP(Table7[[#This Row],[ItemID]], Elaboration, 6, FALSE)), "")</f>
        <v/>
      </c>
    </row>
    <row r="10" spans="1:4" x14ac:dyDescent="0.25">
      <c r="A10" t="str">
        <f>ItemMap[[#This Row],[ItemID]]</f>
        <v>MidRight Motor</v>
      </c>
      <c r="B10" t="str">
        <f>IF(ISBLANK(Table6[[#This Row],[ItemID]]), "", VLOOKUP(Table6[[#This Row],[ItemID]], ItemMap[], 2, FALSE))</f>
        <v>Motor</v>
      </c>
      <c r="C10" s="6">
        <f>IF(VLOOKUP(Table7[[#This Row],[Component]], ComponentData[], 8, FALSE)&gt;0, VLOOKUP(Table7[[#This Row],[ItemID]], Elaboration, 8, FALSE)/VLOOKUP(Table7[[#This Row],[Component]], ComponentData[], 8, FALSE), 0)</f>
        <v>0</v>
      </c>
      <c r="D10" s="5" t="str">
        <f>IF(VLOOKUP(Table7[[#This Row],[Component]], ComponentData[], 9, FALSE)&gt;0, VLOOKUP(Table7[[#This Row],[Component]], ComponentData[], 9, FALSE)/(VLOOKUP(Table7[[#This Row],[ItemID]], Elaboration, 8, FALSE)-VLOOKUP(Table7[[#This Row],[ItemID]], Elaboration, 6, FALSE)), "")</f>
        <v/>
      </c>
    </row>
    <row r="11" spans="1:4" x14ac:dyDescent="0.25">
      <c r="A11" t="str">
        <f>ItemMap[[#This Row],[ItemID]]</f>
        <v>BackRight Motor</v>
      </c>
      <c r="B11" t="str">
        <f>IF(ISBLANK(Table6[[#This Row],[ItemID]]), "", VLOOKUP(Table6[[#This Row],[ItemID]], ItemMap[], 2, FALSE))</f>
        <v>Motor</v>
      </c>
      <c r="C11" s="6">
        <f>IF(VLOOKUP(Table7[[#This Row],[Component]], ComponentData[], 8, FALSE)&gt;0, VLOOKUP(Table7[[#This Row],[ItemID]], Elaboration, 8, FALSE)/VLOOKUP(Table7[[#This Row],[Component]], ComponentData[], 8, FALSE), 0)</f>
        <v>0</v>
      </c>
      <c r="D11" s="5" t="str">
        <f>IF(VLOOKUP(Table7[[#This Row],[Component]], ComponentData[], 9, FALSE)&gt;0, VLOOKUP(Table7[[#This Row],[Component]], ComponentData[], 9, FALSE)/(VLOOKUP(Table7[[#This Row],[ItemID]], Elaboration, 8, FALSE)-VLOOKUP(Table7[[#This Row],[ItemID]], Elaboration, 6, FALSE)), "")</f>
        <v/>
      </c>
    </row>
    <row r="12" spans="1:4" x14ac:dyDescent="0.25">
      <c r="A12" t="str">
        <f>ItemMap[[#This Row],[ItemID]]</f>
        <v>FrontLeft Motor</v>
      </c>
      <c r="B12" t="str">
        <f>IF(ISBLANK(Table6[[#This Row],[ItemID]]), "", VLOOKUP(Table6[[#This Row],[ItemID]], ItemMap[], 2, FALSE))</f>
        <v>Motor</v>
      </c>
      <c r="C12" s="6">
        <f>IF(VLOOKUP(Table7[[#This Row],[Component]], ComponentData[], 8, FALSE)&gt;0, VLOOKUP(Table7[[#This Row],[ItemID]], Elaboration, 8, FALSE)/VLOOKUP(Table7[[#This Row],[Component]], ComponentData[], 8, FALSE), 0)</f>
        <v>0</v>
      </c>
      <c r="D12" s="5" t="str">
        <f>IF(VLOOKUP(Table7[[#This Row],[Component]], ComponentData[], 9, FALSE)&gt;0, VLOOKUP(Table7[[#This Row],[Component]], ComponentData[], 9, FALSE)/(VLOOKUP(Table7[[#This Row],[ItemID]], Elaboration, 8, FALSE)-VLOOKUP(Table7[[#This Row],[ItemID]], Elaboration, 6, FALSE)), "")</f>
        <v/>
      </c>
    </row>
    <row r="13" spans="1:4" x14ac:dyDescent="0.25">
      <c r="A13" t="str">
        <f>ItemMap[[#This Row],[ItemID]]</f>
        <v>MidLeft Motor</v>
      </c>
      <c r="B13" t="str">
        <f>IF(ISBLANK(Table6[[#This Row],[ItemID]]), "", VLOOKUP(Table6[[#This Row],[ItemID]], ItemMap[], 2, FALSE))</f>
        <v>Motor</v>
      </c>
      <c r="C13" s="6">
        <f>IF(VLOOKUP(Table7[[#This Row],[Component]], ComponentData[], 8, FALSE)&gt;0, VLOOKUP(Table7[[#This Row],[ItemID]], Elaboration, 8, FALSE)/VLOOKUP(Table7[[#This Row],[Component]], ComponentData[], 8, FALSE), 0)</f>
        <v>0</v>
      </c>
      <c r="D13" s="5" t="str">
        <f>IF(VLOOKUP(Table7[[#This Row],[Component]], ComponentData[], 9, FALSE)&gt;0, VLOOKUP(Table7[[#This Row],[Component]], ComponentData[], 9, FALSE)/(VLOOKUP(Table7[[#This Row],[ItemID]], Elaboration, 8, FALSE)-VLOOKUP(Table7[[#This Row],[ItemID]], Elaboration, 6, FALSE)), "")</f>
        <v/>
      </c>
    </row>
    <row r="14" spans="1:4" x14ac:dyDescent="0.25">
      <c r="A14" t="str">
        <f>ItemMap[[#This Row],[ItemID]]</f>
        <v>BackLeft Motor</v>
      </c>
      <c r="B14" t="str">
        <f>IF(ISBLANK(Table6[[#This Row],[ItemID]]), "", VLOOKUP(Table6[[#This Row],[ItemID]], ItemMap[], 2, FALSE))</f>
        <v>Motor</v>
      </c>
      <c r="C14" s="6">
        <f>IF(VLOOKUP(Table7[[#This Row],[Component]], ComponentData[], 8, FALSE)&gt;0, VLOOKUP(Table7[[#This Row],[ItemID]], Elaboration, 8, FALSE)/VLOOKUP(Table7[[#This Row],[Component]], ComponentData[], 8, FALSE), 0)</f>
        <v>0</v>
      </c>
      <c r="D14" s="5" t="str">
        <f>IF(VLOOKUP(Table7[[#This Row],[Component]], ComponentData[], 9, FALSE)&gt;0, VLOOKUP(Table7[[#This Row],[Component]], ComponentData[], 9, FALSE)/(VLOOKUP(Table7[[#This Row],[ItemID]], Elaboration, 8, FALSE)-VLOOKUP(Table7[[#This Row],[ItemID]], Elaboration, 6, FALSE)), "")</f>
        <v/>
      </c>
    </row>
    <row r="15" spans="1:4" x14ac:dyDescent="0.25">
      <c r="A15" t="str">
        <f>ItemMap[[#This Row],[ItemID]]</f>
        <v>Logic Supply</v>
      </c>
      <c r="B15" s="1" t="str">
        <f>IF(ISBLANK(Table6[[#This Row],[ItemID]]), "", VLOOKUP(Table6[[#This Row],[ItemID]], ItemMap[], 2, FALSE))</f>
        <v>5V Regulator</v>
      </c>
      <c r="C15" s="6">
        <f>IF(VLOOKUP(Table7[[#This Row],[Component]], ComponentData[], 8, FALSE)&gt;0, VLOOKUP(Table7[[#This Row],[ItemID]], Elaboration, 8, FALSE)/VLOOKUP(Table7[[#This Row],[Component]], ComponentData[], 8, FALSE), 0)</f>
        <v>0.13999999999999999</v>
      </c>
      <c r="D15" s="5" t="str">
        <f>IF(VLOOKUP(Table7[[#This Row],[Component]], ComponentData[], 9, FALSE)&gt;0, VLOOKUP(Table7[[#This Row],[Component]], ComponentData[], 9, FALSE)/(VLOOKUP(Table7[[#This Row],[ItemID]], Elaboration, 8, FALSE)-VLOOKUP(Table7[[#This Row],[ItemID]], Elaboration, 6, FALSE)), "")</f>
        <v/>
      </c>
    </row>
    <row r="16" spans="1:4" x14ac:dyDescent="0.25">
      <c r="A16" t="str">
        <f>ItemMap[[#This Row],[ItemID]]</f>
        <v>Master Control</v>
      </c>
      <c r="B16" s="1" t="str">
        <f>IF(ISBLANK(Table6[[#This Row],[ItemID]]), "", VLOOKUP(Table6[[#This Row],[ItemID]], ItemMap[], 2, FALSE))</f>
        <v>Raspberry Pi</v>
      </c>
      <c r="C16" s="6">
        <f>IF(VLOOKUP(Table7[[#This Row],[Component]], ComponentData[], 8, FALSE)&gt;0, VLOOKUP(Table7[[#This Row],[ItemID]], Elaboration, 8, FALSE)/VLOOKUP(Table7[[#This Row],[Component]], ComponentData[], 8, FALSE), 0)</f>
        <v>0</v>
      </c>
      <c r="D16" s="5" t="str">
        <f>IF(VLOOKUP(Table7[[#This Row],[Component]], ComponentData[], 9, FALSE)&gt;0, VLOOKUP(Table7[[#This Row],[Component]], ComponentData[], 9, FALSE)/(VLOOKUP(Table7[[#This Row],[ItemID]], Elaboration, 8, FALSE)-VLOOKUP(Table7[[#This Row],[ItemID]], Elaboration, 6, FALSE)), "")</f>
        <v/>
      </c>
    </row>
    <row r="17" spans="3:4" x14ac:dyDescent="0.25">
      <c r="C17" s="6"/>
      <c r="D17" s="5"/>
    </row>
    <row r="18" spans="3:4" x14ac:dyDescent="0.25">
      <c r="C18" s="6"/>
      <c r="D18" s="5"/>
    </row>
    <row r="19" spans="3:4" x14ac:dyDescent="0.25">
      <c r="C19" s="6"/>
      <c r="D19" s="5"/>
    </row>
    <row r="20" spans="3:4" x14ac:dyDescent="0.25">
      <c r="C20" s="6"/>
      <c r="D20" s="5"/>
    </row>
    <row r="21" spans="3:4" x14ac:dyDescent="0.25">
      <c r="C21" s="6"/>
      <c r="D21" s="5"/>
    </row>
    <row r="22" spans="3:4" x14ac:dyDescent="0.25">
      <c r="C22" s="6"/>
      <c r="D22" s="5"/>
    </row>
    <row r="23" spans="3:4" x14ac:dyDescent="0.25">
      <c r="C23" s="6"/>
      <c r="D23" s="5"/>
    </row>
  </sheetData>
  <conditionalFormatting sqref="C2:C16">
    <cfRule type="colorScale" priority="1">
      <colorScale>
        <cfvo type="percent" val="75"/>
        <cfvo type="percent" val="100"/>
        <color theme="9"/>
        <color rgb="FFFF0000"/>
      </colorScale>
    </cfRule>
  </conditionalFormatting>
  <dataValidations disablePrompts="1" count="1">
    <dataValidation type="list" allowBlank="1" showInputMessage="1" showErrorMessage="1" sqref="A2:A16">
      <formula1>ItemIDs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Component Data</vt:lpstr>
      <vt:lpstr>Items</vt:lpstr>
      <vt:lpstr>Elaboration</vt:lpstr>
      <vt:lpstr>Results</vt:lpstr>
      <vt:lpstr>ComponentIDs</vt:lpstr>
      <vt:lpstr>Elaboration</vt:lpstr>
      <vt:lpstr>ItemIDs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Talbert</dc:creator>
  <cp:lastModifiedBy>James Talbert</cp:lastModifiedBy>
  <dcterms:created xsi:type="dcterms:W3CDTF">2017-07-13T19:20:27Z</dcterms:created>
  <dcterms:modified xsi:type="dcterms:W3CDTF">2017-08-08T04:17:48Z</dcterms:modified>
</cp:coreProperties>
</file>