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10860" yWindow="0" windowWidth="18825" windowHeight="4845" activeTab="1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J2" i="4"/>
  <c r="J25" i="4"/>
  <c r="J26" i="4"/>
  <c r="J27" i="4"/>
  <c r="J28" i="4"/>
  <c r="J29" i="4"/>
  <c r="J30" i="4"/>
  <c r="M2" i="4" l="1"/>
  <c r="M25" i="4"/>
  <c r="M26" i="4"/>
  <c r="M27" i="4"/>
  <c r="M28" i="4"/>
  <c r="M29" i="4"/>
  <c r="M30" i="4"/>
  <c r="I2" i="4"/>
  <c r="I25" i="4"/>
  <c r="I26" i="4"/>
  <c r="I27" i="4"/>
  <c r="I28" i="4"/>
  <c r="I29" i="4"/>
  <c r="I30" i="4"/>
  <c r="N3" i="7"/>
  <c r="I3" i="4" s="1"/>
  <c r="N2" i="7"/>
  <c r="N4" i="7"/>
  <c r="N5" i="7"/>
  <c r="I5" i="4" s="1"/>
  <c r="N6" i="7"/>
  <c r="I6" i="4" s="1"/>
  <c r="N7" i="7"/>
  <c r="I7" i="4" s="1"/>
  <c r="N8" i="7"/>
  <c r="I8" i="4" s="1"/>
  <c r="N9" i="7"/>
  <c r="I9" i="4" s="1"/>
  <c r="N10" i="7"/>
  <c r="I10" i="4" s="1"/>
  <c r="N11" i="7"/>
  <c r="I11" i="4" s="1"/>
  <c r="N12" i="7"/>
  <c r="I12" i="4" s="1"/>
  <c r="N13" i="7"/>
  <c r="I13" i="4" s="1"/>
  <c r="N14" i="7"/>
  <c r="I14" i="4" s="1"/>
  <c r="N15" i="7"/>
  <c r="I15" i="4" s="1"/>
  <c r="N16" i="7"/>
  <c r="I16" i="4" s="1"/>
  <c r="N17" i="7"/>
  <c r="I17" i="4" s="1"/>
  <c r="N18" i="7"/>
  <c r="I18" i="4" s="1"/>
  <c r="N19" i="7"/>
  <c r="I19" i="4" s="1"/>
  <c r="N20" i="7"/>
  <c r="I20" i="4" s="1"/>
  <c r="N21" i="7"/>
  <c r="I21" i="4" s="1"/>
  <c r="N22" i="7"/>
  <c r="I22" i="4" s="1"/>
  <c r="N23" i="7"/>
  <c r="I23" i="4" s="1"/>
  <c r="N24" i="7"/>
  <c r="I24" i="4" s="1"/>
  <c r="N25" i="7"/>
  <c r="N26" i="7"/>
  <c r="N27" i="7"/>
  <c r="N28" i="7"/>
  <c r="N29" i="7"/>
  <c r="N30" i="7"/>
  <c r="N31" i="7"/>
  <c r="A2" i="4" l="1"/>
  <c r="C2" i="4" s="1"/>
  <c r="G2" i="4" s="1"/>
  <c r="A3" i="4"/>
  <c r="B3" i="4" s="1"/>
  <c r="C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L25" i="4" s="1"/>
  <c r="A26" i="4"/>
  <c r="K26" i="4" s="1"/>
  <c r="A27" i="4"/>
  <c r="B27" i="4" s="1"/>
  <c r="C27" i="4" s="1"/>
  <c r="H27" i="4" s="1"/>
  <c r="A28" i="4"/>
  <c r="B28" i="4" s="1"/>
  <c r="C28" i="4" s="1"/>
  <c r="G28" i="4" s="1"/>
  <c r="A29" i="4"/>
  <c r="K29" i="4" s="1"/>
  <c r="A30" i="4"/>
  <c r="L30" i="4" s="1"/>
  <c r="L26" i="4"/>
  <c r="O26" i="4"/>
  <c r="K27" i="4"/>
  <c r="L28" i="4"/>
  <c r="K28" i="4"/>
  <c r="D30" i="4"/>
  <c r="E30" i="4" s="1"/>
  <c r="N30" i="4"/>
  <c r="O30" i="4" s="1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F4" i="7"/>
  <c r="G4" i="7"/>
  <c r="H4" i="7"/>
  <c r="I4" i="7"/>
  <c r="J4" i="7"/>
  <c r="D4" i="4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D6" i="4" s="1"/>
  <c r="L6" i="7"/>
  <c r="M6" i="7"/>
  <c r="E7" i="7"/>
  <c r="F7" i="7"/>
  <c r="G7" i="7"/>
  <c r="H7" i="7"/>
  <c r="I7" i="7"/>
  <c r="J7" i="7"/>
  <c r="K7" i="7"/>
  <c r="D7" i="4" s="1"/>
  <c r="L7" i="7"/>
  <c r="M7" i="7"/>
  <c r="E8" i="7"/>
  <c r="F8" i="7"/>
  <c r="G8" i="7"/>
  <c r="H8" i="7"/>
  <c r="I8" i="7"/>
  <c r="J8" i="7"/>
  <c r="K8" i="7"/>
  <c r="D8" i="4" s="1"/>
  <c r="L8" i="7"/>
  <c r="M8" i="7"/>
  <c r="E9" i="7"/>
  <c r="F9" i="7"/>
  <c r="G9" i="7"/>
  <c r="H9" i="7"/>
  <c r="I9" i="7"/>
  <c r="J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D11" i="4" s="1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D15" i="4" s="1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D19" i="4" s="1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D23" i="4" s="1"/>
  <c r="E23" i="4" s="1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H3" i="7"/>
  <c r="G3" i="7"/>
  <c r="F3" i="7"/>
  <c r="E3" i="7"/>
  <c r="N27" i="4" l="1"/>
  <c r="O27" i="4" s="1"/>
  <c r="D16" i="4"/>
  <c r="D12" i="4"/>
  <c r="N28" i="4"/>
  <c r="O28" i="4" s="1"/>
  <c r="D28" i="4"/>
  <c r="F28" i="4" s="1"/>
  <c r="D24" i="4"/>
  <c r="E24" i="4" s="1"/>
  <c r="D20" i="4"/>
  <c r="D25" i="4"/>
  <c r="F25" i="4" s="1"/>
  <c r="D27" i="4"/>
  <c r="E27" i="4" s="1"/>
  <c r="L27" i="4"/>
  <c r="N25" i="4"/>
  <c r="D17" i="7"/>
  <c r="D5" i="7"/>
  <c r="D14" i="4"/>
  <c r="D10" i="4"/>
  <c r="N26" i="4"/>
  <c r="D26" i="4"/>
  <c r="E26" i="4" s="1"/>
  <c r="D13" i="7"/>
  <c r="D22" i="4"/>
  <c r="E22" i="4" s="1"/>
  <c r="D18" i="4"/>
  <c r="K30" i="4"/>
  <c r="B30" i="4"/>
  <c r="C30" i="4" s="1"/>
  <c r="G30" i="4" s="1"/>
  <c r="B26" i="4"/>
  <c r="C26" i="4" s="1"/>
  <c r="G26" i="4" s="1"/>
  <c r="D21" i="7"/>
  <c r="B29" i="4"/>
  <c r="C29" i="4" s="1"/>
  <c r="B25" i="4"/>
  <c r="C18" i="4"/>
  <c r="C23" i="4"/>
  <c r="C19" i="4"/>
  <c r="C11" i="4"/>
  <c r="C20" i="4"/>
  <c r="C7" i="4"/>
  <c r="C24" i="4"/>
  <c r="D6" i="7"/>
  <c r="C8" i="4"/>
  <c r="C15" i="4"/>
  <c r="C16" i="4"/>
  <c r="C12" i="4"/>
  <c r="C4" i="4"/>
  <c r="C22" i="4"/>
  <c r="C14" i="4"/>
  <c r="C10" i="4"/>
  <c r="D9" i="7"/>
  <c r="C6" i="4"/>
  <c r="D24" i="7"/>
  <c r="D20" i="7"/>
  <c r="D16" i="7"/>
  <c r="D12" i="7"/>
  <c r="D8" i="7"/>
  <c r="D4" i="7"/>
  <c r="L29" i="4"/>
  <c r="D21" i="4"/>
  <c r="E21" i="4" s="1"/>
  <c r="D17" i="4"/>
  <c r="D13" i="4"/>
  <c r="D9" i="4"/>
  <c r="P5" i="5" s="1"/>
  <c r="D5" i="4"/>
  <c r="D3" i="4"/>
  <c r="P2" i="5" s="1"/>
  <c r="D23" i="7"/>
  <c r="D19" i="7"/>
  <c r="D15" i="7"/>
  <c r="D11" i="7"/>
  <c r="D7" i="7"/>
  <c r="N29" i="4"/>
  <c r="O29" i="4" s="1"/>
  <c r="D29" i="4"/>
  <c r="F29" i="4" s="1"/>
  <c r="K25" i="4"/>
  <c r="C21" i="4"/>
  <c r="C17" i="4"/>
  <c r="C13" i="4"/>
  <c r="C9" i="4"/>
  <c r="C5" i="4"/>
  <c r="D22" i="7"/>
  <c r="D18" i="7"/>
  <c r="D14" i="7"/>
  <c r="D10" i="7"/>
  <c r="O25" i="4"/>
  <c r="E28" i="4"/>
  <c r="F30" i="4"/>
  <c r="F23" i="4"/>
  <c r="F27" i="4"/>
  <c r="E25" i="4"/>
  <c r="H28" i="4"/>
  <c r="G27" i="4"/>
  <c r="H2" i="4"/>
  <c r="A2" i="6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A26" i="6"/>
  <c r="A27" i="6"/>
  <c r="A28" i="6"/>
  <c r="A29" i="6"/>
  <c r="A30" i="6"/>
  <c r="R6" i="5"/>
  <c r="R7" i="5"/>
  <c r="R8" i="5"/>
  <c r="Q6" i="5"/>
  <c r="Q7" i="5"/>
  <c r="Q8" i="5"/>
  <c r="P6" i="5"/>
  <c r="P7" i="5"/>
  <c r="P8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F24" i="4" l="1"/>
  <c r="F26" i="4"/>
  <c r="K21" i="4"/>
  <c r="J21" i="4" s="1"/>
  <c r="F21" i="4"/>
  <c r="D21" i="5" s="1"/>
  <c r="H21" i="5" s="1"/>
  <c r="K22" i="4"/>
  <c r="J22" i="4" s="1"/>
  <c r="N23" i="4"/>
  <c r="H26" i="4"/>
  <c r="N21" i="4"/>
  <c r="N24" i="4"/>
  <c r="K24" i="4"/>
  <c r="J24" i="4" s="1"/>
  <c r="C25" i="4"/>
  <c r="G25" i="4" s="1"/>
  <c r="N22" i="4"/>
  <c r="H30" i="4"/>
  <c r="F22" i="4"/>
  <c r="D22" i="5" s="1"/>
  <c r="H22" i="5" s="1"/>
  <c r="K23" i="4"/>
  <c r="J23" i="4" s="1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D29" i="5"/>
  <c r="H29" i="5" s="1"/>
  <c r="D24" i="5"/>
  <c r="H24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N13" i="4"/>
  <c r="N11" i="4"/>
  <c r="K13" i="4"/>
  <c r="J13" i="4" s="1"/>
  <c r="H25" i="4" l="1"/>
  <c r="F11" i="4"/>
  <c r="M11" i="4"/>
  <c r="M22" i="4"/>
  <c r="O22" i="4" s="1"/>
  <c r="H22" i="4" s="1"/>
  <c r="M21" i="4"/>
  <c r="O21" i="4" s="1"/>
  <c r="H21" i="4" s="1"/>
  <c r="F13" i="4"/>
  <c r="M13" i="4"/>
  <c r="O13" i="4" s="1"/>
  <c r="H13" i="4" s="1"/>
  <c r="M23" i="4"/>
  <c r="O23" i="4" s="1"/>
  <c r="H23" i="4" s="1"/>
  <c r="M24" i="4"/>
  <c r="O24" i="4" s="1"/>
  <c r="H24" i="4" s="1"/>
  <c r="L23" i="4"/>
  <c r="G23" i="4" s="1"/>
  <c r="L21" i="4"/>
  <c r="G21" i="4" s="1"/>
  <c r="E13" i="4"/>
  <c r="C13" i="5" s="1"/>
  <c r="E13" i="5" s="1"/>
  <c r="L13" i="4"/>
  <c r="G13" i="4" s="1"/>
  <c r="L24" i="4"/>
  <c r="G24" i="4" s="1"/>
  <c r="L22" i="4"/>
  <c r="G22" i="4" s="1"/>
  <c r="F23" i="5"/>
  <c r="F21" i="5"/>
  <c r="F25" i="5"/>
  <c r="F26" i="5"/>
  <c r="D11" i="5"/>
  <c r="H11" i="5" s="1"/>
  <c r="D13" i="5"/>
  <c r="F28" i="5"/>
  <c r="F29" i="5"/>
  <c r="O11" i="4"/>
  <c r="H11" i="4" s="1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N5" i="4"/>
  <c r="K5" i="4"/>
  <c r="J5" i="4" s="1"/>
  <c r="F5" i="4" l="1"/>
  <c r="D5" i="5" s="1"/>
  <c r="H5" i="5" s="1"/>
  <c r="M5" i="4"/>
  <c r="O5" i="4" s="1"/>
  <c r="E5" i="4"/>
  <c r="C5" i="5" s="1"/>
  <c r="E5" i="5" s="1"/>
  <c r="L5" i="4"/>
  <c r="F11" i="5"/>
  <c r="H13" i="5"/>
  <c r="F13" i="5"/>
  <c r="K8" i="4"/>
  <c r="J8" i="4" s="1"/>
  <c r="N8" i="4"/>
  <c r="F8" i="4" l="1"/>
  <c r="D8" i="5" s="1"/>
  <c r="F8" i="5" s="1"/>
  <c r="M8" i="4"/>
  <c r="O8" i="4" s="1"/>
  <c r="H8" i="4" s="1"/>
  <c r="E8" i="4"/>
  <c r="C8" i="5" s="1"/>
  <c r="E8" i="5" s="1"/>
  <c r="L8" i="4"/>
  <c r="G8" i="4" s="1"/>
  <c r="G5" i="4"/>
  <c r="F5" i="5"/>
  <c r="H5" i="4"/>
  <c r="H8" i="5" l="1"/>
  <c r="N2" i="4"/>
  <c r="F2" i="4" s="1"/>
  <c r="K2" i="4"/>
  <c r="E2" i="4" s="1"/>
  <c r="C2" i="5" l="1"/>
  <c r="E2" i="5" s="1"/>
  <c r="D2" i="5"/>
  <c r="H2" i="5" s="1"/>
  <c r="O2" i="4"/>
  <c r="L2" i="4"/>
  <c r="G3" i="4" l="1"/>
  <c r="F2" i="5"/>
  <c r="F15" i="4" l="1"/>
  <c r="D15" i="5" s="1"/>
  <c r="F15" i="5" s="1"/>
  <c r="F17" i="4"/>
  <c r="D17" i="5" s="1"/>
  <c r="F19" i="4"/>
  <c r="D19" i="5" s="1"/>
  <c r="H19" i="5" s="1"/>
  <c r="E17" i="4"/>
  <c r="C17" i="5" s="1"/>
  <c r="E17" i="5" s="1"/>
  <c r="E11" i="4"/>
  <c r="C11" i="5" s="1"/>
  <c r="E11" i="5" s="1"/>
  <c r="E15" i="4"/>
  <c r="C15" i="5" s="1"/>
  <c r="E15" i="5" s="1"/>
  <c r="E19" i="4"/>
  <c r="C19" i="5" s="1"/>
  <c r="E19" i="5" s="1"/>
  <c r="K19" i="4"/>
  <c r="J19" i="4" s="1"/>
  <c r="K17" i="4"/>
  <c r="J17" i="4" s="1"/>
  <c r="N15" i="4"/>
  <c r="K11" i="4"/>
  <c r="J11" i="4" s="1"/>
  <c r="N17" i="4"/>
  <c r="K15" i="4"/>
  <c r="J15" i="4" s="1"/>
  <c r="N19" i="4"/>
  <c r="M17" i="4" l="1"/>
  <c r="O17" i="4" s="1"/>
  <c r="M19" i="4"/>
  <c r="O19" i="4" s="1"/>
  <c r="M15" i="4"/>
  <c r="O15" i="4" s="1"/>
  <c r="L11" i="4"/>
  <c r="L19" i="4"/>
  <c r="L15" i="4"/>
  <c r="L17" i="4"/>
  <c r="F17" i="5"/>
  <c r="H17" i="5"/>
  <c r="F19" i="5"/>
  <c r="H15" i="5"/>
  <c r="K12" i="4"/>
  <c r="J12" i="4" s="1"/>
  <c r="K7" i="4"/>
  <c r="J7" i="4" s="1"/>
  <c r="N20" i="4"/>
  <c r="N7" i="4"/>
  <c r="N4" i="4"/>
  <c r="N10" i="4"/>
  <c r="N12" i="4"/>
  <c r="K20" i="4"/>
  <c r="J20" i="4" s="1"/>
  <c r="K4" i="4"/>
  <c r="J4" i="4" s="1"/>
  <c r="H15" i="4" l="1"/>
  <c r="N14" i="4"/>
  <c r="H19" i="4"/>
  <c r="N18" i="4"/>
  <c r="F18" i="4" s="1"/>
  <c r="D18" i="5" s="1"/>
  <c r="H17" i="4"/>
  <c r="N16" i="4"/>
  <c r="F16" i="4" s="1"/>
  <c r="D16" i="5" s="1"/>
  <c r="M4" i="4"/>
  <c r="O4" i="4" s="1"/>
  <c r="H4" i="4" s="1"/>
  <c r="M14" i="4"/>
  <c r="O14" i="4" s="1"/>
  <c r="H14" i="4" s="1"/>
  <c r="M7" i="4"/>
  <c r="O7" i="4" s="1"/>
  <c r="M12" i="4"/>
  <c r="O12" i="4" s="1"/>
  <c r="H12" i="4" s="1"/>
  <c r="F20" i="4"/>
  <c r="D20" i="5" s="1"/>
  <c r="F20" i="5" s="1"/>
  <c r="M20" i="4"/>
  <c r="O20" i="4" s="1"/>
  <c r="H20" i="4" s="1"/>
  <c r="F10" i="4"/>
  <c r="D10" i="5" s="1"/>
  <c r="H10" i="5" s="1"/>
  <c r="M10" i="4"/>
  <c r="G15" i="4"/>
  <c r="K14" i="4"/>
  <c r="G19" i="4"/>
  <c r="K18" i="4"/>
  <c r="J18" i="4" s="1"/>
  <c r="G17" i="4"/>
  <c r="K16" i="4"/>
  <c r="J16" i="4" s="1"/>
  <c r="G11" i="4"/>
  <c r="K10" i="4"/>
  <c r="J10" i="4" s="1"/>
  <c r="E7" i="4"/>
  <c r="C7" i="5" s="1"/>
  <c r="E7" i="5" s="1"/>
  <c r="L7" i="4"/>
  <c r="E20" i="4"/>
  <c r="C20" i="5" s="1"/>
  <c r="E20" i="5" s="1"/>
  <c r="L20" i="4"/>
  <c r="G20" i="4" s="1"/>
  <c r="E4" i="4"/>
  <c r="Q4" i="5" s="1"/>
  <c r="R4" i="5" s="1"/>
  <c r="L4" i="4"/>
  <c r="G4" i="4" s="1"/>
  <c r="L12" i="4"/>
  <c r="G12" i="4" s="1"/>
  <c r="F7" i="4"/>
  <c r="D7" i="5" s="1"/>
  <c r="H7" i="5" s="1"/>
  <c r="F12" i="4"/>
  <c r="D12" i="5" s="1"/>
  <c r="H12" i="5" s="1"/>
  <c r="O10" i="4"/>
  <c r="H10" i="4" s="1"/>
  <c r="E12" i="4"/>
  <c r="C12" i="5" s="1"/>
  <c r="E12" i="5" s="1"/>
  <c r="H20" i="5"/>
  <c r="F14" i="4"/>
  <c r="D14" i="5" s="1"/>
  <c r="F10" i="5"/>
  <c r="E18" i="4"/>
  <c r="C18" i="5" s="1"/>
  <c r="E18" i="5" s="1"/>
  <c r="F4" i="4"/>
  <c r="D4" i="5" s="1"/>
  <c r="E14" i="4" l="1"/>
  <c r="C14" i="5" s="1"/>
  <c r="E14" i="5" s="1"/>
  <c r="J14" i="4"/>
  <c r="M16" i="4"/>
  <c r="O16" i="4" s="1"/>
  <c r="H16" i="4" s="1"/>
  <c r="C4" i="5"/>
  <c r="E4" i="5" s="1"/>
  <c r="F18" i="5"/>
  <c r="H18" i="5"/>
  <c r="H16" i="5"/>
  <c r="F16" i="5"/>
  <c r="H7" i="4"/>
  <c r="N6" i="4"/>
  <c r="M6" i="4" s="1"/>
  <c r="O6" i="4" s="1"/>
  <c r="M18" i="4"/>
  <c r="O18" i="4" s="1"/>
  <c r="H18" i="4" s="1"/>
  <c r="E10" i="4"/>
  <c r="C10" i="5" s="1"/>
  <c r="E10" i="5" s="1"/>
  <c r="L10" i="4"/>
  <c r="G10" i="4" s="1"/>
  <c r="L18" i="4"/>
  <c r="G18" i="4" s="1"/>
  <c r="E16" i="4"/>
  <c r="C16" i="5" s="1"/>
  <c r="E16" i="5" s="1"/>
  <c r="L16" i="4"/>
  <c r="G16" i="4" s="1"/>
  <c r="L14" i="4"/>
  <c r="F7" i="5"/>
  <c r="F12" i="5"/>
  <c r="K6" i="4"/>
  <c r="J6" i="4" s="1"/>
  <c r="G7" i="4"/>
  <c r="F14" i="5"/>
  <c r="H14" i="5"/>
  <c r="F4" i="5"/>
  <c r="H4" i="5"/>
  <c r="F6" i="4"/>
  <c r="D6" i="5" s="1"/>
  <c r="N9" i="4" l="1"/>
  <c r="M9" i="4" s="1"/>
  <c r="O9" i="4" s="1"/>
  <c r="G14" i="4"/>
  <c r="K9" i="4"/>
  <c r="L6" i="4"/>
  <c r="G6" i="4" s="1"/>
  <c r="E6" i="4"/>
  <c r="H6" i="4"/>
  <c r="H6" i="5"/>
  <c r="F6" i="5"/>
  <c r="J9" i="4" l="1"/>
  <c r="L9" i="4" s="1"/>
  <c r="F9" i="4"/>
  <c r="D9" i="5" s="1"/>
  <c r="F9" i="5" s="1"/>
  <c r="E9" i="4"/>
  <c r="Q5" i="5" s="1"/>
  <c r="R5" i="5" s="1"/>
  <c r="H9" i="4"/>
  <c r="N3" i="4"/>
  <c r="M3" i="4" s="1"/>
  <c r="O3" i="4" s="1"/>
  <c r="H3" i="4" s="1"/>
  <c r="Q3" i="5"/>
  <c r="R3" i="5" s="1"/>
  <c r="C6" i="5"/>
  <c r="E6" i="5" s="1"/>
  <c r="G9" i="4" l="1"/>
  <c r="K3" i="4"/>
  <c r="J3" i="4" s="1"/>
  <c r="L3" i="4" s="1"/>
  <c r="C9" i="5"/>
  <c r="E9" i="5" s="1"/>
  <c r="H9" i="5"/>
  <c r="F3" i="4"/>
  <c r="D3" i="5" s="1"/>
  <c r="H3" i="5" s="1"/>
  <c r="E3" i="4" l="1"/>
  <c r="L4" i="5"/>
  <c r="F3" i="5"/>
  <c r="C3" i="5"/>
  <c r="E3" i="5" s="1"/>
  <c r="L3" i="5" s="1"/>
  <c r="Q2" i="5"/>
  <c r="R2" i="5" s="1"/>
</calcChain>
</file>

<file path=xl/sharedStrings.xml><?xml version="1.0" encoding="utf-8"?>
<sst xmlns="http://schemas.openxmlformats.org/spreadsheetml/2006/main" count="179" uniqueCount="103">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</sst>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numFmt numFmtId="165" formatCode="0.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3" totalsRowShown="0">
  <autoFilter ref="A1:K13" xr:uid="{00000000-0009-0000-0100-000002000000}"/>
  <tableColumns count="11">
    <tableColumn id="1" xr3:uid="{00000000-0010-0000-0000-000001000000}" name="ID" dataDxfId="60"/>
    <tableColumn id="6" xr3:uid="{00000000-0010-0000-0000-000006000000}" name="Name" dataDxfId="59"/>
    <tableColumn id="2" xr3:uid="{00000000-0010-0000-0000-000002000000}" name="Manufacturer" dataDxfId="58"/>
    <tableColumn id="3" xr3:uid="{00000000-0010-0000-0000-000003000000}" name="Source" dataDxfId="57"/>
    <tableColumn id="4" xr3:uid="{00000000-0010-0000-0000-000004000000}" name="Price" dataDxfId="56"/>
    <tableColumn id="5" xr3:uid="{00000000-0010-0000-0000-000005000000}" name="Peak Consumption (W)" dataDxfId="55"/>
    <tableColumn id="10" xr3:uid="{00000000-0010-0000-0000-00000A000000}" name="Constant Consumption (W)" dataDxfId="54"/>
    <tableColumn id="7" xr3:uid="{00000000-0010-0000-0000-000007000000}" name="Output (V)" dataDxfId="53"/>
    <tableColumn id="8" xr3:uid="{00000000-0010-0000-0000-000008000000}" name="Output (A)" dataDxfId="52"/>
    <tableColumn id="9" xr3:uid="{00000000-0010-0000-0000-000009000000}" name="Battery (mAh)" dataDxfId="51"/>
    <tableColumn id="11" xr3:uid="{00000000-0010-0000-0000-00000B000000}" name="Thoughput Los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1" totalsRowShown="0" headerRowDxfId="49" dataDxfId="48">
  <autoFilter ref="A1:N31" xr:uid="{00000000-0009-0000-0100-000003000000}"/>
  <tableColumns count="14">
    <tableColumn id="1" xr3:uid="{00000000-0010-0000-0100-000001000000}" name="ItemID" dataDxfId="47"/>
    <tableColumn id="2" xr3:uid="{00000000-0010-0000-0100-000002000000}" name="Component" dataDxfId="46"/>
    <tableColumn id="3" xr3:uid="{00000000-0010-0000-0100-000003000000}" name="Supply Item" dataDxfId="45"/>
    <tableColumn id="4" xr3:uid="{00000000-0010-0000-0100-000004000000}" name="Supply Component" dataDxfId="44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xr3:uid="{00000000-0010-0000-0100-000005000000}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4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3">
      <calculatedColumnFormula>IF(IFERROR(Items[[#This Row],[ItemID]], 0)=0, "", Items[[#This Row],[ItemID]])</calculatedColumnFormula>
    </tableColumn>
    <tableColumn id="5" xr3:uid="{00000000-0010-0000-0200-000005000000}" name="Supply Item" dataDxfId="32"/>
    <tableColumn id="11" xr3:uid="{00000000-0010-0000-0200-00000B000000}" name="Input (V)" dataDxfId="31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xr3:uid="{00000000-0010-0000-0200-000008000000}" name="Output (V)" dataDxfId="30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6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5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0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4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3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2">
      <calculatedColumnFormula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calculatedColumnFormula>
    </tableColumn>
    <tableColumn id="14" xr3:uid="{00000000-0010-0000-0200-00000E000000}" name="Children Constant Consumption (W)" dataDxfId="21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0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16">
      <calculatedColumnFormula>IF(IFERROR(Analysis[[#This Row],[ItemID]], 0)=0, "", Analysis[[#This Row],[ItemID]])</calculatedColumnFormula>
    </tableColumn>
    <tableColumn id="4" xr3:uid="{00000000-0010-0000-0300-000004000000}" name="Current Capacity" dataDxfId="15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4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3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2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1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0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9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O1:R8" totalsRowShown="0">
  <autoFilter ref="O1:R8" xr:uid="{00000000-0009-0000-0100-000001000000}"/>
  <tableColumns count="4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W)" dataDxfId="6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5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3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2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1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12</v>
      </c>
      <c r="I1" t="s">
        <v>13</v>
      </c>
      <c r="J1" t="s">
        <v>36</v>
      </c>
      <c r="K1" t="s">
        <v>102</v>
      </c>
    </row>
    <row r="2" spans="1:11" x14ac:dyDescent="0.25">
      <c r="A2" s="2" t="s">
        <v>10</v>
      </c>
      <c r="B2" s="2" t="s">
        <v>94</v>
      </c>
      <c r="C2" s="2"/>
      <c r="D2" s="7"/>
      <c r="E2" s="3"/>
      <c r="F2" s="11">
        <v>0</v>
      </c>
      <c r="G2" s="11">
        <v>0</v>
      </c>
      <c r="H2" s="11">
        <v>24</v>
      </c>
      <c r="I2" s="11">
        <v>400</v>
      </c>
      <c r="J2" s="11">
        <v>1000</v>
      </c>
      <c r="K2" s="4">
        <v>0</v>
      </c>
    </row>
    <row r="3" spans="1:11" ht="45" x14ac:dyDescent="0.25">
      <c r="A3" s="2" t="s">
        <v>92</v>
      </c>
      <c r="B3" s="2" t="s">
        <v>95</v>
      </c>
      <c r="C3" s="2" t="s">
        <v>97</v>
      </c>
      <c r="D3" s="7" t="s">
        <v>96</v>
      </c>
      <c r="E3" s="3">
        <v>8.48</v>
      </c>
      <c r="F3" s="11">
        <v>0</v>
      </c>
      <c r="G3" s="11">
        <v>0</v>
      </c>
      <c r="H3" s="11"/>
      <c r="I3" s="11">
        <v>12</v>
      </c>
      <c r="J3" s="11"/>
      <c r="K3" s="4">
        <v>0.05</v>
      </c>
    </row>
    <row r="4" spans="1:11" x14ac:dyDescent="0.25">
      <c r="A4" s="2" t="s">
        <v>43</v>
      </c>
      <c r="B4" s="2" t="s">
        <v>45</v>
      </c>
      <c r="C4" s="2" t="s">
        <v>46</v>
      </c>
      <c r="D4" s="7" t="s">
        <v>46</v>
      </c>
      <c r="E4" s="3" t="s">
        <v>47</v>
      </c>
      <c r="F4" s="11">
        <v>2.5</v>
      </c>
      <c r="G4" s="11">
        <v>2.5</v>
      </c>
      <c r="H4" s="11">
        <v>24</v>
      </c>
      <c r="I4" s="11">
        <v>1</v>
      </c>
      <c r="J4" s="11"/>
      <c r="K4" s="4">
        <v>0</v>
      </c>
    </row>
    <row r="5" spans="1:11" x14ac:dyDescent="0.25">
      <c r="A5" s="2" t="s">
        <v>32</v>
      </c>
      <c r="B5" s="2" t="s">
        <v>33</v>
      </c>
      <c r="C5" s="2"/>
      <c r="D5" s="7"/>
      <c r="E5" s="3">
        <v>30</v>
      </c>
      <c r="F5" s="11">
        <v>7</v>
      </c>
      <c r="G5" s="11">
        <v>7</v>
      </c>
      <c r="H5" s="11">
        <v>3.3</v>
      </c>
      <c r="I5" s="11">
        <v>0.5</v>
      </c>
      <c r="J5" s="11"/>
      <c r="K5" s="4">
        <v>0</v>
      </c>
    </row>
    <row r="6" spans="1:11" ht="30" x14ac:dyDescent="0.25">
      <c r="A6" s="2" t="s">
        <v>48</v>
      </c>
      <c r="B6" s="2" t="s">
        <v>58</v>
      </c>
      <c r="C6" s="2" t="s">
        <v>41</v>
      </c>
      <c r="D6" s="7" t="s">
        <v>42</v>
      </c>
      <c r="E6" s="3">
        <v>180</v>
      </c>
      <c r="F6" s="11">
        <v>0.5</v>
      </c>
      <c r="G6" s="11">
        <v>0.5</v>
      </c>
      <c r="H6" s="11">
        <v>24</v>
      </c>
      <c r="I6" s="11">
        <v>1</v>
      </c>
      <c r="J6" s="11"/>
      <c r="K6" s="4">
        <v>0</v>
      </c>
    </row>
    <row r="7" spans="1:11" ht="30" x14ac:dyDescent="0.25">
      <c r="A7" s="2" t="s">
        <v>51</v>
      </c>
      <c r="B7" s="2" t="s">
        <v>50</v>
      </c>
      <c r="C7" s="2" t="s">
        <v>41</v>
      </c>
      <c r="D7" s="7" t="s">
        <v>52</v>
      </c>
      <c r="E7" s="3">
        <v>150</v>
      </c>
      <c r="F7" s="11">
        <v>7.5</v>
      </c>
      <c r="G7" s="11">
        <v>7.5</v>
      </c>
      <c r="H7" s="11"/>
      <c r="I7" s="11"/>
      <c r="J7" s="11"/>
      <c r="K7" s="4">
        <v>0</v>
      </c>
    </row>
    <row r="8" spans="1:11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1">
        <v>0</v>
      </c>
      <c r="G8" s="11">
        <v>0</v>
      </c>
      <c r="H8" s="11">
        <v>12</v>
      </c>
      <c r="I8" s="11">
        <v>60</v>
      </c>
      <c r="J8" s="11"/>
      <c r="K8" s="4">
        <v>0</v>
      </c>
    </row>
    <row r="9" spans="1:11" x14ac:dyDescent="0.25">
      <c r="A9" s="2" t="s">
        <v>57</v>
      </c>
      <c r="B9" s="2" t="s">
        <v>15</v>
      </c>
      <c r="C9" s="2" t="s">
        <v>16</v>
      </c>
      <c r="D9" s="22" t="s">
        <v>17</v>
      </c>
      <c r="E9" s="3">
        <v>7.25</v>
      </c>
      <c r="F9" s="15">
        <v>1020</v>
      </c>
      <c r="G9" s="15">
        <v>120</v>
      </c>
      <c r="H9" s="11"/>
      <c r="I9" s="11"/>
      <c r="J9" s="11"/>
      <c r="K9" s="4">
        <v>0</v>
      </c>
    </row>
    <row r="10" spans="1:11" ht="30" x14ac:dyDescent="0.25">
      <c r="A10" s="2" t="s">
        <v>62</v>
      </c>
      <c r="B10" s="2" t="s">
        <v>60</v>
      </c>
      <c r="C10" s="2"/>
      <c r="D10" s="7" t="s">
        <v>59</v>
      </c>
      <c r="E10" s="3">
        <v>60</v>
      </c>
      <c r="F10" s="11">
        <v>240</v>
      </c>
      <c r="G10" s="11">
        <v>60</v>
      </c>
      <c r="H10" s="11"/>
      <c r="I10" s="11"/>
      <c r="J10" s="11"/>
      <c r="K10" s="4">
        <v>0</v>
      </c>
    </row>
    <row r="11" spans="1:11" ht="30" x14ac:dyDescent="0.25">
      <c r="A11" s="2" t="s">
        <v>63</v>
      </c>
      <c r="B11" s="2" t="s">
        <v>65</v>
      </c>
      <c r="C11" s="2"/>
      <c r="D11" s="7" t="s">
        <v>64</v>
      </c>
      <c r="E11" s="3">
        <v>50</v>
      </c>
      <c r="F11" s="11">
        <v>58.8</v>
      </c>
      <c r="G11" s="11">
        <v>20</v>
      </c>
      <c r="H11" s="11"/>
      <c r="I11" s="11"/>
      <c r="J11" s="11"/>
      <c r="K11" s="4">
        <v>0</v>
      </c>
    </row>
    <row r="12" spans="1:11" x14ac:dyDescent="0.25">
      <c r="A12" s="2" t="s">
        <v>98</v>
      </c>
      <c r="B12" s="2" t="s">
        <v>99</v>
      </c>
      <c r="C12" s="2" t="s">
        <v>100</v>
      </c>
      <c r="D12" s="7" t="s">
        <v>101</v>
      </c>
      <c r="E12" s="3">
        <v>40</v>
      </c>
      <c r="F12" s="11">
        <v>0</v>
      </c>
      <c r="G12" s="11">
        <v>0</v>
      </c>
      <c r="H12" s="11">
        <v>22</v>
      </c>
      <c r="I12" s="11">
        <v>40</v>
      </c>
      <c r="J12" s="11"/>
      <c r="K12" s="4">
        <v>0</v>
      </c>
    </row>
    <row r="13" spans="1:11" x14ac:dyDescent="0.25">
      <c r="A13" s="2"/>
      <c r="B13" s="2"/>
      <c r="C13" s="2"/>
      <c r="D13" s="7"/>
      <c r="E13" s="3"/>
      <c r="F13" s="11"/>
      <c r="G13" s="11"/>
      <c r="H13" s="11"/>
      <c r="I13" s="11"/>
      <c r="J13" s="11"/>
      <c r="K13" s="4"/>
    </row>
  </sheetData>
  <hyperlinks>
    <hyperlink ref="D9" r:id="rId1" xr:uid="{00000000-0004-0000-0000-000000000000}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11</v>
      </c>
      <c r="B1" s="14" t="s">
        <v>1</v>
      </c>
      <c r="C1" s="14" t="s">
        <v>37</v>
      </c>
      <c r="D1" s="14" t="s">
        <v>30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73</v>
      </c>
      <c r="J1" s="14" t="s">
        <v>74</v>
      </c>
      <c r="K1" s="14" t="s">
        <v>12</v>
      </c>
      <c r="L1" s="14" t="s">
        <v>13</v>
      </c>
      <c r="M1" s="14" t="s">
        <v>36</v>
      </c>
      <c r="N1" t="s">
        <v>102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14</v>
      </c>
      <c r="B3" s="14" t="s">
        <v>10</v>
      </c>
      <c r="D3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31</v>
      </c>
      <c r="B4" s="14" t="s">
        <v>92</v>
      </c>
      <c r="C4" s="14" t="s">
        <v>39</v>
      </c>
      <c r="D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34</v>
      </c>
      <c r="B5" s="14" t="s">
        <v>32</v>
      </c>
      <c r="C5" s="14" t="s">
        <v>31</v>
      </c>
      <c r="D5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49</v>
      </c>
      <c r="B6" s="14" t="s">
        <v>43</v>
      </c>
      <c r="C6" s="14" t="s">
        <v>14</v>
      </c>
      <c r="D6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4" t="s">
        <v>44</v>
      </c>
      <c r="B7" s="14" t="s">
        <v>48</v>
      </c>
      <c r="C7" s="14" t="s">
        <v>49</v>
      </c>
      <c r="D7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40</v>
      </c>
      <c r="B8" s="14" t="s">
        <v>51</v>
      </c>
      <c r="C8" s="14" t="s">
        <v>44</v>
      </c>
      <c r="D8" s="14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39</v>
      </c>
      <c r="B9" s="14" t="s">
        <v>92</v>
      </c>
      <c r="C9" s="14" t="s">
        <v>14</v>
      </c>
      <c r="D9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10" spans="1:14" x14ac:dyDescent="0.25">
      <c r="A10" s="14" t="s">
        <v>18</v>
      </c>
      <c r="B10" s="14" t="s">
        <v>98</v>
      </c>
      <c r="C10" s="14" t="s">
        <v>39</v>
      </c>
      <c r="D10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1" spans="1:14" x14ac:dyDescent="0.25">
      <c r="A11" s="14" t="s">
        <v>24</v>
      </c>
      <c r="B11" s="14" t="s">
        <v>57</v>
      </c>
      <c r="C11" s="14" t="s">
        <v>18</v>
      </c>
      <c r="D11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19</v>
      </c>
      <c r="B12" s="14" t="s">
        <v>98</v>
      </c>
      <c r="C12" s="14" t="s">
        <v>39</v>
      </c>
      <c r="D12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29</v>
      </c>
      <c r="B13" s="14" t="s">
        <v>57</v>
      </c>
      <c r="C13" s="14" t="s">
        <v>19</v>
      </c>
      <c r="D13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20</v>
      </c>
      <c r="B14" s="14" t="s">
        <v>98</v>
      </c>
      <c r="C14" s="14" t="s">
        <v>39</v>
      </c>
      <c r="D1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25</v>
      </c>
      <c r="B15" s="14" t="s">
        <v>57</v>
      </c>
      <c r="C15" s="14" t="s">
        <v>20</v>
      </c>
      <c r="D15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21</v>
      </c>
      <c r="B16" s="14" t="s">
        <v>98</v>
      </c>
      <c r="C16" s="14" t="s">
        <v>39</v>
      </c>
      <c r="D16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26</v>
      </c>
      <c r="B17" s="14" t="s">
        <v>57</v>
      </c>
      <c r="C17" s="14" t="s">
        <v>21</v>
      </c>
      <c r="D17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22</v>
      </c>
      <c r="B18" s="14" t="s">
        <v>98</v>
      </c>
      <c r="C18" s="14" t="s">
        <v>39</v>
      </c>
      <c r="D18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27</v>
      </c>
      <c r="B19" s="14" t="s">
        <v>57</v>
      </c>
      <c r="C19" s="14" t="s">
        <v>22</v>
      </c>
      <c r="D19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23</v>
      </c>
      <c r="B20" s="14" t="s">
        <v>98</v>
      </c>
      <c r="C20" s="14" t="s">
        <v>39</v>
      </c>
      <c r="D20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T-Motor 40A AIR Multirotor ESC (Brushless DC 3-phase)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T-Motor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http://www.robotshop.com/en/t-motor-40a-air-multirotor-esc.html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40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</v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28</v>
      </c>
      <c r="B21" s="14" t="s">
        <v>57</v>
      </c>
      <c r="C21" s="14" t="s">
        <v>23</v>
      </c>
      <c r="D21" s="14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61</v>
      </c>
      <c r="B22" s="14" t="s">
        <v>62</v>
      </c>
      <c r="C22" s="14" t="s">
        <v>39</v>
      </c>
      <c r="D22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66</v>
      </c>
      <c r="B23" s="14" t="s">
        <v>63</v>
      </c>
      <c r="C23" s="14" t="s">
        <v>39</v>
      </c>
      <c r="D23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67</v>
      </c>
      <c r="B24" s="14" t="s">
        <v>63</v>
      </c>
      <c r="C24" s="14" t="s">
        <v>39</v>
      </c>
      <c r="D24" s="14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D25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6" spans="1:14" x14ac:dyDescent="0.25">
      <c r="D26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7" spans="1:14" x14ac:dyDescent="0.25">
      <c r="D27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8" spans="1:14" x14ac:dyDescent="0.25">
      <c r="D28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1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11</v>
      </c>
      <c r="B1" s="25" t="s">
        <v>37</v>
      </c>
      <c r="C1" s="26" t="s">
        <v>72</v>
      </c>
      <c r="D1" s="26" t="s">
        <v>12</v>
      </c>
      <c r="E1" s="26" t="s">
        <v>82</v>
      </c>
      <c r="F1" s="26" t="s">
        <v>84</v>
      </c>
      <c r="G1" s="26" t="s">
        <v>81</v>
      </c>
      <c r="H1" s="26" t="s">
        <v>83</v>
      </c>
      <c r="I1" t="s">
        <v>102</v>
      </c>
      <c r="J1" s="26" t="s">
        <v>75</v>
      </c>
      <c r="K1" s="26" t="s">
        <v>76</v>
      </c>
      <c r="L1" s="26" t="s">
        <v>77</v>
      </c>
      <c r="M1" s="26" t="s">
        <v>78</v>
      </c>
      <c r="N1" s="26" t="s">
        <v>79</v>
      </c>
      <c r="O1" s="26" t="s">
        <v>80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s="26" t="str">
        <f>IF(OR(ISBLANK(Analysis[[#This Row],[ItemID]]), Analysis[[#This Row],[ItemID]]=""), "", VLOOKUP(Analysis[[#This Row],[ItemID]], Items[], COLUMN(Items[Output (V)])-COLUMN(Items[])+1, FALSE))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 s="26">
        <f>IF(OR(ISBLANK(Analysis[[#This Row],[ItemID]]), Analysis[[#This Row],[ItemID]]=""), "", VLOOKUP(Analysis[[#This Row],[ItemID]], Items[], COLUMN(Items[Output (V)])-COLUMN(Items[])+1, FALSE))</f>
        <v>24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284.15406250000007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127.62989583333335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6819.6975000000011</v>
      </c>
      <c r="L3" s="29">
        <f>IF(OR(ISBLANK(Analysis[[#This Row],[ItemID]]), Analysis[[#This Row],[ItemID]]=""), "", Analysis[[#This Row],[Self Peak Consumption (W)]]+Analysis[[#This Row],[Children Peak Consumption (W)]])</f>
        <v>6819.6975000000011</v>
      </c>
      <c r="M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3063.1175000000003</v>
      </c>
      <c r="N3" s="29">
        <f>IF(OR(ISBLANK(Analysis[[#This Row],[ItemID]]), Analysis[[#This Row],[ItemID]]=""), "", SUMIFS(Analysis[Total Constant Consumption (W)], Analysis[Supply Item], Analysis[[#This Row],[ItemID]]))</f>
        <v>3063.1175000000003</v>
      </c>
      <c r="O3" s="29">
        <f>IF(OR(ISBLANK(Analysis[[#This Row],[ItemID]]), Analysis[[#This Row],[ItemID]]=""), "", Analysis[[#This Row],[Self Constant Consumption (W)]]+Analysis[[#This Row],[Children Constant Consumption (W)]])</f>
        <v>6126.2350000000006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 s="26">
        <f>IF(OR(ISBLANK(Analysis[[#This Row],[ItemID]]), Analysis[[#This Row],[ItemID]]=""), "", VLOOKUP(Analysis[[#This Row],[ItemID]], Items[], COLUMN(Items[Output (V)])-COLUMN(Items[])+1, FALSE))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0.61249999999999993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1.1375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6.6499999999999995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13.649999999999999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 s="26">
        <f>IF(OR(ISBLANK(Analysis[[#This Row],[ItemID]]), Analysis[[#This Row],[ItemID]]=""), "", VLOOKUP(Analysis[[#This Row],[ItemID]], Items[], COLUMN(Items[Output (V)])-COLUMN(Items[])+1, FALSE))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Comms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 s="26">
        <f>IF(OR(ISBLANK(Analysis[[#This Row],[ItemID]]), Analysis[[#This Row],[ItemID]]=""), "", VLOOKUP(Analysis[[#This Row],[ItemID]], Items[], COLUMN(Items[Output (V)])-COLUMN(Items[])+1, FALSE))</f>
        <v>24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0.64583333333333337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1.3958333333333333</v>
      </c>
      <c r="I6" s="30">
        <f>IF(OR(ISBLANK(Analysis[[#This Row],[ItemID]]), Analysis[[#This Row],[ItemID]]=""), "", VLOOKUP(Analysis[[#This Row],[ItemID]], Items[], COLUMN(Items[Thoughput Loss])-COLUMN(Items[])+1, FALSE))</f>
        <v>0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2.5</v>
      </c>
      <c r="K6" s="29">
        <f>IF(OR(ISBLANK(Analysis[[#This Row],[ItemID]]), Analysis[[#This Row],[ItemID]]=""), "", SUMIFS(Analysis[Total Peak Consumption (W)], Analysis[Supply Item], Analysis[[#This Row],[ItemID]]))</f>
        <v>8</v>
      </c>
      <c r="L6" s="29">
        <f>IF(OR(ISBLANK(Analysis[[#This Row],[ItemID]]), Analysis[[#This Row],[ItemID]]=""), "", Analysis[[#This Row],[Self Peak Consumption (W)]]+Analysis[[#This Row],[Children Peak Consumption (W)]])</f>
        <v>10.5</v>
      </c>
      <c r="M6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18</v>
      </c>
      <c r="N6" s="29">
        <f>IF(OR(ISBLANK(Analysis[[#This Row],[ItemID]]), Analysis[[#This Row],[ItemID]]=""), "", SUMIFS(Analysis[Total Constant Consumption (W)], Analysis[Supply Item], Analysis[[#This Row],[ItemID]]))</f>
        <v>15.5</v>
      </c>
      <c r="O6" s="29">
        <f>IF(OR(ISBLANK(Analysis[[#This Row],[ItemID]]), Analysis[[#This Row],[ItemID]]=""), "", Analysis[[#This Row],[Self Constant Consumption (W)]]+Analysis[[#This Row],[Children Constant Consumption (W)]])</f>
        <v>33.5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 s="26">
        <f>IF(OR(ISBLANK(Analysis[[#This Row],[ItemID]]), Analysis[[#This Row],[ItemID]]=""), "", VLOOKUP(Analysis[[#This Row],[ItemID]], Items[], COLUMN(Items[Output (V)])-COLUMN(Items[])+1, FALSE))</f>
        <v>24</v>
      </c>
      <c r="E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0.64583333333333337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0.5</v>
      </c>
      <c r="K7" s="29">
        <f>IF(OR(ISBLANK(Analysis[[#This Row],[ItemID]]), Analysis[[#This Row],[ItemID]]=""), "", SUMIFS(Analysis[Total Peak Consumption (W)], Analysis[Supply Item], Analysis[[#This Row],[ItemID]]))</f>
        <v>7.5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8</v>
      </c>
      <c r="N7" s="29">
        <f>IF(OR(ISBLANK(Analysis[[#This Row],[ItemID]]), Analysis[[#This Row],[ItemID]]=""), "", SUMIFS(Analysis[Total Constant Consumption (W)], Analysis[Supply Item], Analysis[[#This Row],[ItemID]]))</f>
        <v>7.5</v>
      </c>
      <c r="O7" s="29">
        <f>IF(OR(ISBLANK(Analysis[[#This Row],[ItemID]]), Analysis[[#This Row],[ItemID]]=""), "", Analysis[[#This Row],[Self Constant Consumption (W)]]+Analysis[[#This Row],[Children Constant Consumption (W)]])</f>
        <v>15.5</v>
      </c>
    </row>
    <row r="8" spans="1:15" x14ac:dyDescent="0.25">
      <c r="A8" s="27" t="str">
        <f>IF(IFERROR(Items[[#This Row],[ItemID]], 0)=0, "", Items[[#This Row],[ItemID]])</f>
        <v>Antenna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s="26" t="str">
        <f>IF(OR(ISBLANK(Analysis[[#This Row],[ItemID]]), Analysis[[#This Row],[ItemID]]=""), "", VLOOKUP(Analysis[[#This Row],[ItemID]], Items[], COLUMN(Items[Output (V)])-COLUMN(Items[])+1, FALSE))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7.5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7.5</v>
      </c>
      <c r="M8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7.5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7" t="str">
        <f>IF(IFERROR(Items[[#This Row],[ItemID]], 0)=0, "", Items[[#This Row],[ItemID]])</f>
        <v>Dirty Power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 s="26">
        <f>IF(OR(ISBLANK(Analysis[[#This Row],[ItemID]]), Analysis[[#This Row],[ItemID]]=""), "", VLOOKUP(Analysis[[#This Row],[ItemID]], Items[], COLUMN(Items[Output (V)])-COLUMN(Items[])+1, FALSE))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540.41250000000002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129.47083333333333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283.71656250000007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126.23406250000001</v>
      </c>
      <c r="I9" s="30">
        <f>IF(OR(ISBLANK(Analysis[[#This Row],[ItemID]]), Analysis[[#This Row],[ItemID]]=""), "", VLOOKUP(Analysis[[#This Row],[ItemID]], Items[], COLUMN(Items[Thoughput Loss])-COLUMN(Items[])+1, FALSE))</f>
        <v>0.05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324.24750000000006</v>
      </c>
      <c r="K9" s="29">
        <f>IF(OR(ISBLANK(Analysis[[#This Row],[ItemID]]), Analysis[[#This Row],[ItemID]]=""), "", SUMIFS(Analysis[Total Peak Consumption (W)], Analysis[Supply Item], Analysis[[#This Row],[ItemID]]))</f>
        <v>6484.9500000000007</v>
      </c>
      <c r="L9" s="29">
        <f>IF(OR(ISBLANK(Analysis[[#This Row],[ItemID]]), Analysis[[#This Row],[ItemID]]=""), "", Analysis[[#This Row],[Self Peak Consumption (W)]]+Analysis[[#This Row],[Children Peak Consumption (W)]])</f>
        <v>6809.1975000000011</v>
      </c>
      <c r="M9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1475.9675</v>
      </c>
      <c r="N9" s="29">
        <f>IF(OR(ISBLANK(Analysis[[#This Row],[ItemID]]), Analysis[[#This Row],[ItemID]]=""), "", SUMIFS(Analysis[Total Constant Consumption (W)], Analysis[Supply Item], Analysis[[#This Row],[ItemID]]))</f>
        <v>1553.65</v>
      </c>
      <c r="O9" s="29">
        <f>IF(OR(ISBLANK(Analysis[[#This Row],[ItemID]]), Analysis[[#This Row],[ItemID]]=""), "", Analysis[[#This Row],[Self Constant Consumption (W)]]+Analysis[[#This Row],[Children Constant Consumption (W)]])</f>
        <v>3029.6175000000003</v>
      </c>
    </row>
    <row r="10" spans="1:15" x14ac:dyDescent="0.25">
      <c r="A10" s="27" t="str">
        <f>IF(IFERROR(Items[[#This Row],[ItemID]], 0)=0, "", Items[[#This Row],[ItemID]])</f>
        <v>FrontRight ESC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 s="26">
        <f>IF(OR(ISBLANK(Analysis[[#This Row],[ItemID]]), Analysis[[#This Row],[ItemID]]=""), "", VLOOKUP(Analysis[[#This Row],[ItemID]], Items[], COLUMN(Items[Output (V)])-COLUMN(Items[])+1, FALSE))</f>
        <v>22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0" s="30">
        <f>IF(OR(ISBLANK(Analysis[[#This Row],[ItemID]]), Analysis[[#This Row],[ItemID]]=""), "", VLOOKUP(Analysis[[#This Row],[ItemID]], Items[], COLUMN(Items[Thoughput Loss])-COLUMN(Items[])+1, FALSE))</f>
        <v>0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9">
        <f>IF(OR(ISBLANK(Analysis[[#This Row],[ItemID]]), Analysis[[#This Row],[ItemID]]=""), "", SUMIFS(Analysis[Total Peak Consumption (W)], Analysis[Supply Item], Analysis[[#This Row],[ItemID]]))</f>
        <v>1020</v>
      </c>
      <c r="L10" s="29">
        <f>IF(OR(ISBLANK(Analysis[[#This Row],[ItemID]]), Analysis[[#This Row],[ItemID]]=""), "", Analysis[[#This Row],[Self Peak Consumption (W)]]+Analysis[[#This Row],[Children Peak Consumption (W)]])</f>
        <v>1020</v>
      </c>
      <c r="M10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0" s="29">
        <f>IF(OR(ISBLANK(Analysis[[#This Row],[ItemID]]), Analysis[[#This Row],[ItemID]]=""), "", SUMIFS(Analysis[Total Constant Consumption (W)], Analysis[Supply Item], Analysis[[#This Row],[ItemID]]))</f>
        <v>120</v>
      </c>
      <c r="O10" s="29">
        <f>IF(OR(ISBLANK(Analysis[[#This Row],[ItemID]]), Analysis[[#This Row],[ItemID]]=""), "", Analysis[[#This Row],[Self Constant Consumption (W)]]+Analysis[[#This Row],[Children Constant Consumption (W)]])</f>
        <v>240</v>
      </c>
    </row>
    <row r="11" spans="1:15" x14ac:dyDescent="0.25">
      <c r="A11" s="27" t="str">
        <f>IF(IFERROR(Items[[#This Row],[ItemID]], 0)=0, "", Items[[#This Row],[ItemID]])</f>
        <v>FrontRight Motor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1" s="26" t="str">
        <f>IF(OR(ISBLANK(Analysis[[#This Row],[ItemID]]), Analysis[[#This Row],[ItemID]]=""), "", VLOOKUP(Analysis[[#This Row],[ItemID]], Items[], COLUMN(Items[Output (V)])-COLUMN(Items[])+1, FALSE))</f>
        <v/>
      </c>
      <c r="E1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1" s="29">
        <f>IF(OR(ISBLANK(Analysis[[#This Row],[ItemID]]), Analysis[[#This Row],[ItemID]]=""), "", SUMIFS(Analysis[Total Peak Consumption (W)], Analysis[Supply Item], Analysis[[#This Row],[ItemID]]))</f>
        <v>0</v>
      </c>
      <c r="L11" s="29">
        <f>IF(OR(ISBLANK(Analysis[[#This Row],[ItemID]]), Analysis[[#This Row],[ItemID]]=""), "", Analysis[[#This Row],[Self Peak Consumption (W)]]+Analysis[[#This Row],[Children Peak Consumption (W)]])</f>
        <v>1020</v>
      </c>
      <c r="M11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1" s="29">
        <f>IF(OR(ISBLANK(Analysis[[#This Row],[ItemID]]), Analysis[[#This Row],[ItemID]]=""), "", SUMIFS(Analysis[Total Constant Consumption (W)], Analysis[Supply Item], Analysis[[#This Row],[ItemID]]))</f>
        <v>0</v>
      </c>
      <c r="O11" s="29">
        <f>IF(OR(ISBLANK(Analysis[[#This Row],[ItemID]]), Analysis[[#This Row],[ItemID]]=""), "", Analysis[[#This Row],[Self Constant Consumption (W)]]+Analysis[[#This Row],[Children Constant Consumption (W)]])</f>
        <v>120</v>
      </c>
    </row>
    <row r="12" spans="1:15" x14ac:dyDescent="0.25">
      <c r="A12" s="27" t="str">
        <f>IF(IFERROR(Items[[#This Row],[ItemID]], 0)=0, "", Items[[#This Row],[ItemID]])</f>
        <v>MidRight ESC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 s="26">
        <f>IF(OR(ISBLANK(Analysis[[#This Row],[ItemID]]), Analysis[[#This Row],[ItemID]]=""), "", VLOOKUP(Analysis[[#This Row],[ItemID]], Items[], COLUMN(Items[Output (V)])-COLUMN(Items[])+1, FALSE))</f>
        <v>22</v>
      </c>
      <c r="E1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9">
        <f>IF(OR(ISBLANK(Analysis[[#This Row],[ItemID]]), Analysis[[#This Row],[ItemID]]=""), "", SUMIFS(Analysis[Total Peak Consumption (W)], Analysis[Supply Item], Analysis[[#This Row],[ItemID]]))</f>
        <v>1020</v>
      </c>
      <c r="L12" s="29">
        <f>IF(OR(ISBLANK(Analysis[[#This Row],[ItemID]]), Analysis[[#This Row],[ItemID]]=""), "", Analysis[[#This Row],[Self Peak Consumption (W)]]+Analysis[[#This Row],[Children Peak Consumption (W)]])</f>
        <v>1020</v>
      </c>
      <c r="M12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2" s="29">
        <f>IF(OR(ISBLANK(Analysis[[#This Row],[ItemID]]), Analysis[[#This Row],[ItemID]]=""), "", SUMIFS(Analysis[Total Constant Consumption (W)], Analysis[Supply Item], Analysis[[#This Row],[ItemID]]))</f>
        <v>120</v>
      </c>
      <c r="O12" s="29">
        <f>IF(OR(ISBLANK(Analysis[[#This Row],[ItemID]]), Analysis[[#This Row],[ItemID]]=""), "", Analysis[[#This Row],[Self Constant Consumption (W)]]+Analysis[[#This Row],[Children Constant Consumption (W)]])</f>
        <v>240</v>
      </c>
    </row>
    <row r="13" spans="1:15" x14ac:dyDescent="0.25">
      <c r="A13" s="27" t="str">
        <f>IF(IFERROR(Items[[#This Row],[ItemID]], 0)=0, "", Items[[#This Row],[ItemID]])</f>
        <v>MidRight Motor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3" s="26" t="str">
        <f>IF(OR(ISBLANK(Analysis[[#This Row],[ItemID]]), Analysis[[#This Row],[ItemID]]=""), "", VLOOKUP(Analysis[[#This Row],[ItemID]], Items[], COLUMN(Items[Output (V)])-COLUMN(Items[])+1, FALSE))</f>
        <v/>
      </c>
      <c r="E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3" s="29">
        <f>IF(OR(ISBLANK(Analysis[[#This Row],[ItemID]]), Analysis[[#This Row],[ItemID]]=""), "", SUMIFS(Analysis[Total Peak Consumption (W)], Analysis[Supply Item], Analysis[[#This Row],[ItemID]]))</f>
        <v>0</v>
      </c>
      <c r="L13" s="29">
        <f>IF(OR(ISBLANK(Analysis[[#This Row],[ItemID]]), Analysis[[#This Row],[ItemID]]=""), "", Analysis[[#This Row],[Self Peak Consumption (W)]]+Analysis[[#This Row],[Children Peak Consumption (W)]])</f>
        <v>1020</v>
      </c>
      <c r="M1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3" s="29">
        <f>IF(OR(ISBLANK(Analysis[[#This Row],[ItemID]]), Analysis[[#This Row],[ItemID]]=""), "", SUMIFS(Analysis[Total Constant Consumption (W)], Analysis[Supply Item], Analysis[[#This Row],[ItemID]]))</f>
        <v>0</v>
      </c>
      <c r="O13" s="29">
        <f>IF(OR(ISBLANK(Analysis[[#This Row],[ItemID]]), Analysis[[#This Row],[ItemID]]=""), "", Analysis[[#This Row],[Self Constant Consumption (W)]]+Analysis[[#This Row],[Children Constant Consumption (W)]])</f>
        <v>120</v>
      </c>
    </row>
    <row r="14" spans="1:15" x14ac:dyDescent="0.25">
      <c r="A14" s="27" t="str">
        <f>IF(IFERROR(Items[[#This Row],[ItemID]], 0)=0, "", Items[[#This Row],[ItemID]])</f>
        <v>BackRight ESC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 s="26">
        <f>IF(OR(ISBLANK(Analysis[[#This Row],[ItemID]]), Analysis[[#This Row],[ItemID]]=""), "", VLOOKUP(Analysis[[#This Row],[ItemID]], Items[], COLUMN(Items[Output (V)])-COLUMN(Items[])+1, FALSE))</f>
        <v>22</v>
      </c>
      <c r="E1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4" s="29">
        <f>IF(OR(ISBLANK(Analysis[[#This Row],[ItemID]]), Analysis[[#This Row],[ItemID]]=""), "", SUMIFS(Analysis[Total Peak Consumption (W)], Analysis[Supply Item], Analysis[[#This Row],[ItemID]]))</f>
        <v>1020</v>
      </c>
      <c r="L14" s="29">
        <f>IF(OR(ISBLANK(Analysis[[#This Row],[ItemID]]), Analysis[[#This Row],[ItemID]]=""), "", Analysis[[#This Row],[Self Peak Consumption (W)]]+Analysis[[#This Row],[Children Peak Consumption (W)]])</f>
        <v>1020</v>
      </c>
      <c r="M1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4" s="29">
        <f>IF(OR(ISBLANK(Analysis[[#This Row],[ItemID]]), Analysis[[#This Row],[ItemID]]=""), "", SUMIFS(Analysis[Total Constant Consumption (W)], Analysis[Supply Item], Analysis[[#This Row],[ItemID]]))</f>
        <v>120</v>
      </c>
      <c r="O14" s="29">
        <f>IF(OR(ISBLANK(Analysis[[#This Row],[ItemID]]), Analysis[[#This Row],[ItemID]]=""), "", Analysis[[#This Row],[Self Constant Consumption (W)]]+Analysis[[#This Row],[Children Constant Consumption (W)]])</f>
        <v>240</v>
      </c>
    </row>
    <row r="15" spans="1:15" x14ac:dyDescent="0.25">
      <c r="A15" s="27" t="str">
        <f>IF(IFERROR(Items[[#This Row],[ItemID]], 0)=0, "", Items[[#This Row],[ItemID]])</f>
        <v>BackRight Motor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5" s="26" t="str">
        <f>IF(OR(ISBLANK(Analysis[[#This Row],[ItemID]]), Analysis[[#This Row],[ItemID]]=""), "", VLOOKUP(Analysis[[#This Row],[ItemID]], Items[], COLUMN(Items[Output (V)])-COLUMN(Items[])+1, FALSE))</f>
        <v/>
      </c>
      <c r="E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5" s="29">
        <f>IF(OR(ISBLANK(Analysis[[#This Row],[ItemID]]), Analysis[[#This Row],[ItemID]]=""), "", SUMIFS(Analysis[Total Peak Consumption (W)], Analysis[Supply Item], Analysis[[#This Row],[ItemID]]))</f>
        <v>0</v>
      </c>
      <c r="L15" s="29">
        <f>IF(OR(ISBLANK(Analysis[[#This Row],[ItemID]]), Analysis[[#This Row],[ItemID]]=""), "", Analysis[[#This Row],[Self Peak Consumption (W)]]+Analysis[[#This Row],[Children Peak Consumption (W)]])</f>
        <v>1020</v>
      </c>
      <c r="M15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5" s="29">
        <f>IF(OR(ISBLANK(Analysis[[#This Row],[ItemID]]), Analysis[[#This Row],[ItemID]]=""), "", SUMIFS(Analysis[Total Constant Consumption (W)], Analysis[Supply Item], Analysis[[#This Row],[ItemID]]))</f>
        <v>0</v>
      </c>
      <c r="O15" s="29">
        <f>IF(OR(ISBLANK(Analysis[[#This Row],[ItemID]]), Analysis[[#This Row],[ItemID]]=""), "", Analysis[[#This Row],[Self Constant Consumption (W)]]+Analysis[[#This Row],[Children Constant Consumption (W)]])</f>
        <v>120</v>
      </c>
    </row>
    <row r="16" spans="1:15" x14ac:dyDescent="0.25">
      <c r="A16" s="27" t="str">
        <f>IF(IFERROR(Items[[#This Row],[ItemID]], 0)=0, "", Items[[#This Row],[ItemID]])</f>
        <v>FrontLeft ESC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 s="26">
        <f>IF(OR(ISBLANK(Analysis[[#This Row],[ItemID]]), Analysis[[#This Row],[ItemID]]=""), "", VLOOKUP(Analysis[[#This Row],[ItemID]], Items[], COLUMN(Items[Output (V)])-COLUMN(Items[])+1, FALSE))</f>
        <v>22</v>
      </c>
      <c r="E1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6" s="29">
        <f>IF(OR(ISBLANK(Analysis[[#This Row],[ItemID]]), Analysis[[#This Row],[ItemID]]=""), "", SUMIFS(Analysis[Total Peak Consumption (W)], Analysis[Supply Item], Analysis[[#This Row],[ItemID]]))</f>
        <v>1020</v>
      </c>
      <c r="L16" s="29">
        <f>IF(OR(ISBLANK(Analysis[[#This Row],[ItemID]]), Analysis[[#This Row],[ItemID]]=""), "", Analysis[[#This Row],[Self Peak Consumption (W)]]+Analysis[[#This Row],[Children Peak Consumption (W)]])</f>
        <v>1020</v>
      </c>
      <c r="M16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6" s="29">
        <f>IF(OR(ISBLANK(Analysis[[#This Row],[ItemID]]), Analysis[[#This Row],[ItemID]]=""), "", SUMIFS(Analysis[Total Constant Consumption (W)], Analysis[Supply Item], Analysis[[#This Row],[ItemID]]))</f>
        <v>120</v>
      </c>
      <c r="O16" s="29">
        <f>IF(OR(ISBLANK(Analysis[[#This Row],[ItemID]]), Analysis[[#This Row],[ItemID]]=""), "", Analysis[[#This Row],[Self Constant Consumption (W)]]+Analysis[[#This Row],[Children Constant Consumption (W)]])</f>
        <v>240</v>
      </c>
    </row>
    <row r="17" spans="1:15" x14ac:dyDescent="0.25">
      <c r="A17" s="27" t="str">
        <f>IF(IFERROR(Items[[#This Row],[ItemID]], 0)=0, "", Items[[#This Row],[ItemID]])</f>
        <v>FrontLeft Motor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7" s="26" t="str">
        <f>IF(OR(ISBLANK(Analysis[[#This Row],[ItemID]]), Analysis[[#This Row],[ItemID]]=""), "", VLOOKUP(Analysis[[#This Row],[ItemID]], Items[], COLUMN(Items[Output (V)])-COLUMN(Items[])+1, FALSE))</f>
        <v/>
      </c>
      <c r="E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7" s="29">
        <f>IF(OR(ISBLANK(Analysis[[#This Row],[ItemID]]), Analysis[[#This Row],[ItemID]]=""), "", SUMIFS(Analysis[Total Peak Consumption (W)], Analysis[Supply Item], Analysis[[#This Row],[ItemID]]))</f>
        <v>0</v>
      </c>
      <c r="L17" s="29">
        <f>IF(OR(ISBLANK(Analysis[[#This Row],[ItemID]]), Analysis[[#This Row],[ItemID]]=""), "", Analysis[[#This Row],[Self Peak Consumption (W)]]+Analysis[[#This Row],[Children Peak Consumption (W)]])</f>
        <v>1020</v>
      </c>
      <c r="M17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7" s="29">
        <f>IF(OR(ISBLANK(Analysis[[#This Row],[ItemID]]), Analysis[[#This Row],[ItemID]]=""), "", SUMIFS(Analysis[Total Constant Consumption (W)], Analysis[Supply Item], Analysis[[#This Row],[ItemID]]))</f>
        <v>0</v>
      </c>
      <c r="O17" s="29">
        <f>IF(OR(ISBLANK(Analysis[[#This Row],[ItemID]]), Analysis[[#This Row],[ItemID]]=""), "", Analysis[[#This Row],[Self Constant Consumption (W)]]+Analysis[[#This Row],[Children Constant Consumption (W)]])</f>
        <v>120</v>
      </c>
    </row>
    <row r="18" spans="1:15" x14ac:dyDescent="0.25">
      <c r="A18" s="27" t="str">
        <f>IF(IFERROR(Items[[#This Row],[ItemID]], 0)=0, "", Items[[#This Row],[ItemID]])</f>
        <v>MidLeft ESC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 s="26">
        <f>IF(OR(ISBLANK(Analysis[[#This Row],[ItemID]]), Analysis[[#This Row],[ItemID]]=""), "", VLOOKUP(Analysis[[#This Row],[ItemID]], Items[], COLUMN(Items[Output (V)])-COLUMN(Items[])+1, FALSE))</f>
        <v>22</v>
      </c>
      <c r="E18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18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8" s="29">
        <f>IF(OR(ISBLANK(Analysis[[#This Row],[ItemID]]), Analysis[[#This Row],[ItemID]]=""), "", SUMIFS(Analysis[Total Peak Consumption (W)], Analysis[Supply Item], Analysis[[#This Row],[ItemID]]))</f>
        <v>1020</v>
      </c>
      <c r="L18" s="29">
        <f>IF(OR(ISBLANK(Analysis[[#This Row],[ItemID]]), Analysis[[#This Row],[ItemID]]=""), "", Analysis[[#This Row],[Self Peak Consumption (W)]]+Analysis[[#This Row],[Children Peak Consumption (W)]])</f>
        <v>1020</v>
      </c>
      <c r="M18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8" s="29">
        <f>IF(OR(ISBLANK(Analysis[[#This Row],[ItemID]]), Analysis[[#This Row],[ItemID]]=""), "", SUMIFS(Analysis[Total Constant Consumption (W)], Analysis[Supply Item], Analysis[[#This Row],[ItemID]]))</f>
        <v>120</v>
      </c>
      <c r="O18" s="29">
        <f>IF(OR(ISBLANK(Analysis[[#This Row],[ItemID]]), Analysis[[#This Row],[ItemID]]=""), "", Analysis[[#This Row],[Self Constant Consumption (W)]]+Analysis[[#This Row],[Children Constant Consumption (W)]])</f>
        <v>240</v>
      </c>
    </row>
    <row r="19" spans="1:15" x14ac:dyDescent="0.25">
      <c r="A19" s="27" t="str">
        <f>IF(IFERROR(Items[[#This Row],[ItemID]], 0)=0, "", Items[[#This Row],[ItemID]])</f>
        <v>MidLeft Motor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19" s="26" t="str">
        <f>IF(OR(ISBLANK(Analysis[[#This Row],[ItemID]]), Analysis[[#This Row],[ItemID]]=""), "", VLOOKUP(Analysis[[#This Row],[ItemID]], Items[], COLUMN(Items[Output (V)])-COLUMN(Items[])+1, FALSE))</f>
        <v/>
      </c>
      <c r="E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9" s="29">
        <f>IF(OR(ISBLANK(Analysis[[#This Row],[ItemID]]), Analysis[[#This Row],[ItemID]]=""), "", SUMIFS(Analysis[Total Peak Consumption (W)], Analysis[Supply Item], Analysis[[#This Row],[ItemID]]))</f>
        <v>0</v>
      </c>
      <c r="L19" s="29">
        <f>IF(OR(ISBLANK(Analysis[[#This Row],[ItemID]]), Analysis[[#This Row],[ItemID]]=""), "", Analysis[[#This Row],[Self Peak Consumption (W)]]+Analysis[[#This Row],[Children Peak Consumption (W)]])</f>
        <v>1020</v>
      </c>
      <c r="M19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19" s="29">
        <f>IF(OR(ISBLANK(Analysis[[#This Row],[ItemID]]), Analysis[[#This Row],[ItemID]]=""), "", SUMIFS(Analysis[Total Constant Consumption (W)], Analysis[Supply Item], Analysis[[#This Row],[ItemID]]))</f>
        <v>0</v>
      </c>
      <c r="O19" s="29">
        <f>IF(OR(ISBLANK(Analysis[[#This Row],[ItemID]]), Analysis[[#This Row],[ItemID]]=""), "", Analysis[[#This Row],[Self Constant Consumption (W)]]+Analysis[[#This Row],[Children Constant Consumption (W)]])</f>
        <v>120</v>
      </c>
    </row>
    <row r="20" spans="1:15" x14ac:dyDescent="0.25">
      <c r="A20" s="27" t="str">
        <f>IF(IFERROR(Items[[#This Row],[ItemID]], 0)=0, "", Items[[#This Row],[ItemID]])</f>
        <v>BackLeft ESC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 s="26">
        <f>IF(OR(ISBLANK(Analysis[[#This Row],[ItemID]]), Analysis[[#This Row],[ItemID]]=""), "", VLOOKUP(Analysis[[#This Row],[ItemID]], Items[], COLUMN(Items[Output (V)])-COLUMN(Items[])+1, FALSE))</f>
        <v>22</v>
      </c>
      <c r="E2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46.363636363636367</v>
      </c>
      <c r="F2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5.4545454545454541</v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0" s="29">
        <f>IF(OR(ISBLANK(Analysis[[#This Row],[ItemID]]), Analysis[[#This Row],[ItemID]]=""), "", SUMIFS(Analysis[Total Peak Consumption (W)], Analysis[Supply Item], Analysis[[#This Row],[ItemID]]))</f>
        <v>1020</v>
      </c>
      <c r="L20" s="29">
        <f>IF(OR(ISBLANK(Analysis[[#This Row],[ItemID]]), Analysis[[#This Row],[ItemID]]=""), "", Analysis[[#This Row],[Self Peak Consumption (W)]]+Analysis[[#This Row],[Children Peak Consumption (W)]])</f>
        <v>1020</v>
      </c>
      <c r="M20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20" s="29">
        <f>IF(OR(ISBLANK(Analysis[[#This Row],[ItemID]]), Analysis[[#This Row],[ItemID]]=""), "", SUMIFS(Analysis[Total Constant Consumption (W)], Analysis[Supply Item], Analysis[[#This Row],[ItemID]]))</f>
        <v>120</v>
      </c>
      <c r="O20" s="29">
        <f>IF(OR(ISBLANK(Analysis[[#This Row],[ItemID]]), Analysis[[#This Row],[ItemID]]=""), "", Analysis[[#This Row],[Self Constant Consumption (W)]]+Analysis[[#This Row],[Children Constant Consumption (W)]])</f>
        <v>240</v>
      </c>
    </row>
    <row r="21" spans="1:15" x14ac:dyDescent="0.25">
      <c r="A21" s="27" t="str">
        <f>IF(IFERROR(Items[[#This Row],[ItemID]], 0)=0, "", Items[[#This Row],[ItemID]])</f>
        <v>BackLeft Motor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22</v>
      </c>
      <c r="D21" s="26" t="str">
        <f>IF(OR(ISBLANK(Analysis[[#This Row],[ItemID]]), Analysis[[#This Row],[ItemID]]=""), "", VLOOKUP(Analysis[[#This Row],[ItemID]], Items[], COLUMN(Items[Output (V)])-COLUMN(Items[])+1, FALSE))</f>
        <v/>
      </c>
      <c r="E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46.363636363636367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5.4545454545454541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21" s="29">
        <f>IF(OR(ISBLANK(Analysis[[#This Row],[ItemID]]), Analysis[[#This Row],[ItemID]]=""), "", SUMIFS(Analysis[Total Peak Consumption (W)], Analysis[Supply Item], Analysis[[#This Row],[ItemID]]))</f>
        <v>0</v>
      </c>
      <c r="L21" s="29">
        <f>IF(OR(ISBLANK(Analysis[[#This Row],[ItemID]]), Analysis[[#This Row],[ItemID]]=""), "", Analysis[[#This Row],[Self Peak Consumption (W)]]+Analysis[[#This Row],[Children Peak Consumption (W)]])</f>
        <v>1020</v>
      </c>
      <c r="M21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120</v>
      </c>
      <c r="N21" s="29">
        <f>IF(OR(ISBLANK(Analysis[[#This Row],[ItemID]]), Analysis[[#This Row],[ItemID]]=""), "", SUMIFS(Analysis[Total Constant Consumption (W)], Analysis[Supply Item], Analysis[[#This Row],[ItemID]]))</f>
        <v>0</v>
      </c>
      <c r="O21" s="29">
        <f>IF(OR(ISBLANK(Analysis[[#This Row],[ItemID]]), Analysis[[#This Row],[ItemID]]=""), "", Analysis[[#This Row],[Self Constant Consumption (W)]]+Analysis[[#This Row],[Children Constant Consumption (W)]])</f>
        <v>120</v>
      </c>
    </row>
    <row r="22" spans="1:15" x14ac:dyDescent="0.25">
      <c r="A22" s="27" t="str">
        <f>IF(IFERROR(Items[[#This Row],[ItemID]], 0)=0, "", Items[[#This Row],[ItemID]])</f>
        <v>Shoulder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s="26" t="str">
        <f>IF(OR(ISBLANK(Analysis[[#This Row],[ItemID]]), Analysis[[#This Row],[ItemID]]=""), "", VLOOKUP(Analysis[[#This Row],[ItemID]], Items[], COLUMN(Items[Output (V)])-COLUMN(Items[])+1, FALSE))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240</v>
      </c>
      <c r="M22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60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60</v>
      </c>
    </row>
    <row r="23" spans="1:15" x14ac:dyDescent="0.25">
      <c r="A23" s="27" t="str">
        <f>IF(IFERROR(Items[[#This Row],[ItemID]], 0)=0, "", Items[[#This Row],[ItemID]])</f>
        <v>Base Motor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s="26" t="str">
        <f>IF(OR(ISBLANK(Analysis[[#This Row],[ItemID]]), Analysis[[#This Row],[ItemID]]=""), "", VLOOKUP(Analysis[[#This Row],[ItemID]], Items[], COLUMN(Items[Output (V)])-COLUMN(Items[])+1, FALSE))</f>
        <v/>
      </c>
      <c r="E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58.8</v>
      </c>
      <c r="K23" s="29">
        <f>IF(OR(ISBLANK(Analysis[[#This Row],[ItemID]]), Analysis[[#This Row],[ItemID]]=""), "", SUMIFS(Analysis[Total Peak Consumption (W)], Analysis[Supply Item], Analysis[[#This Row],[ItemID]]))</f>
        <v>0</v>
      </c>
      <c r="L23" s="29">
        <f>IF(OR(ISBLANK(Analysis[[#This Row],[ItemID]]), Analysis[[#This Row],[ItemID]]=""), "", Analysis[[#This Row],[Self Peak Consumption (W)]]+Analysis[[#This Row],[Children Peak Consumption (W)]])</f>
        <v>58.8</v>
      </c>
      <c r="M23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20</v>
      </c>
      <c r="N23" s="29">
        <f>IF(OR(ISBLANK(Analysis[[#This Row],[ItemID]]), Analysis[[#This Row],[ItemID]]=""), "", SUMIFS(Analysis[Total Constant Consumption (W)], Analysis[Supply Item], Analysis[[#This Row],[ItemID]]))</f>
        <v>0</v>
      </c>
      <c r="O23" s="29">
        <f>IF(OR(ISBLANK(Analysis[[#This Row],[ItemID]]), Analysis[[#This Row],[ItemID]]=""), "", Analysis[[#This Row],[Self Constant Consumption (W)]]+Analysis[[#This Row],[Children Constant Consumption (W)]])</f>
        <v>20</v>
      </c>
    </row>
    <row r="24" spans="1:15" x14ac:dyDescent="0.25">
      <c r="A24" s="27" t="str">
        <f>IF(IFERROR(Items[[#This Row],[ItemID]], 0)=0, "", Items[[#This Row],[ItemID]])</f>
        <v>Upper Limb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s="26" t="str">
        <f>IF(OR(ISBLANK(Analysis[[#This Row],[ItemID]]), Analysis[[#This Row],[ItemID]]=""), "", VLOOKUP(Analysis[[#This Row],[ItemID]], Items[], COLUMN(Items[Output (V)])-COLUMN(Items[])+1, FALSE))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58.8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58.8</v>
      </c>
      <c r="M24" s="29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>20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20</v>
      </c>
    </row>
    <row r="25" spans="1:15" x14ac:dyDescent="0.25">
      <c r="A25" s="27" t="str">
        <f>IF(IFERROR(Items[[#This Row],[ItemID]], 0)=0, "", Items[[#This Row],[ItemID]])</f>
        <v/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s="26" t="str">
        <f>IF(OR(ISBLANK(Analysis[[#This Row],[ItemID]]), Analysis[[#This Row],[ItemID]]=""), "", VLOOKUP(Analysis[[#This Row],[ItemID]], Items[], COLUMN(Items[Output (V)])-COLUMN(Items[])+1, FALSE))</f>
        <v/>
      </c>
      <c r="E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30" t="str">
        <f>IF(OR(ISBLANK(Analysis[[#This Row],[ItemID]]), Analysis[[#This Row],[ItemID]]=""), "", VLOOKUP(Analysis[[#This Row],[ItemID]], Items[], COLUMN(Items[Thoughput Loss])-COLUMN(Items[])+1, FALSE))</f>
        <v/>
      </c>
      <c r="J25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5" s="29" t="str">
        <f>IF(OR(ISBLANK(Analysis[[#This Row],[ItemID]]), Analysis[[#This Row],[ItemID]]=""), "", SUMIFS(Analysis[Total Peak Consumption (W)], Analysis[Supply Item], Analysis[[#This Row],[ItemID]]))</f>
        <v/>
      </c>
      <c r="L25" s="29" t="str">
        <f>IF(OR(ISBLANK(Analysis[[#This Row],[ItemID]]), Analysis[[#This Row],[ItemID]]=""), "", Analysis[[#This Row],[Self Peak Consumption (W)]]+Analysis[[#This Row],[Children Peak Consumption (W)]])</f>
        <v/>
      </c>
      <c r="M25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5" s="29" t="str">
        <f>IF(OR(ISBLANK(Analysis[[#This Row],[ItemID]]), Analysis[[#This Row],[ItemID]]=""), "", SUMIFS(Analysis[Total Constant Consumption (W)], Analysis[Supply Item], Analysis[[#This Row],[ItemID]]))</f>
        <v/>
      </c>
      <c r="O25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7" t="str">
        <f>IF(IFERROR(Items[[#This Row],[ItemID]], 0)=0, "", Items[[#This Row],[ItemID]])</f>
        <v/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s="26" t="str">
        <f>IF(OR(ISBLANK(Analysis[[#This Row],[ItemID]]), Analysis[[#This Row],[ItemID]]=""), "", VLOOKUP(Analysis[[#This Row],[ItemID]], Items[], COLUMN(Items[Output (V)])-COLUMN(Items[])+1, FALSE))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30" t="str">
        <f>IF(OR(ISBLANK(Analysis[[#This Row],[ItemID]]), Analysis[[#This Row],[ItemID]]=""), "", VLOOKUP(Analysis[[#This Row],[ItemID]], Items[], COLUMN(Items[Thoughput Loss])-COLUMN(Items[])+1, FALSE))</f>
        <v/>
      </c>
      <c r="J26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6" s="29" t="str">
        <f>IF(OR(ISBLANK(Analysis[[#This Row],[ItemID]]), Analysis[[#This Row],[ItemID]]=""), "", SUMIFS(Analysis[Total Peak Consumption (W)], Analysis[Supply Item], Analysis[[#This Row],[ItemID]]))</f>
        <v/>
      </c>
      <c r="L26" s="29" t="str">
        <f>IF(OR(ISBLANK(Analysis[[#This Row],[ItemID]]), Analysis[[#This Row],[ItemID]]=""), "", Analysis[[#This Row],[Self Peak Consumption (W)]]+Analysis[[#This Row],[Children Peak Consumption (W)]])</f>
        <v/>
      </c>
      <c r="M26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6" s="29" t="str">
        <f>IF(OR(ISBLANK(Analysis[[#This Row],[ItemID]]), Analysis[[#This Row],[ItemID]]=""), "", SUMIFS(Analysis[Total Constant Consumption (W)], Analysis[Supply Item], Analysis[[#This Row],[ItemID]]))</f>
        <v/>
      </c>
      <c r="O26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7" t="str">
        <f>IF(IFERROR(Items[[#This Row],[ItemID]], 0)=0, "", Items[[#This Row],[ItemID]])</f>
        <v/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s="26" t="str">
        <f>IF(OR(ISBLANK(Analysis[[#This Row],[ItemID]]), Analysis[[#This Row],[ItemID]]=""), "", VLOOKUP(Analysis[[#This Row],[ItemID]], Items[], COLUMN(Items[Output (V)])-COLUMN(Items[])+1, FALSE))</f>
        <v/>
      </c>
      <c r="E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30" t="str">
        <f>IF(OR(ISBLANK(Analysis[[#This Row],[ItemID]]), Analysis[[#This Row],[ItemID]]=""), "", VLOOKUP(Analysis[[#This Row],[ItemID]], Items[], COLUMN(Items[Thoughput Loss])-COLUMN(Items[])+1, FALSE))</f>
        <v/>
      </c>
      <c r="J27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7" s="29" t="str">
        <f>IF(OR(ISBLANK(Analysis[[#This Row],[ItemID]]), Analysis[[#This Row],[ItemID]]=""), "", SUMIFS(Analysis[Total Peak Consumption (W)], Analysis[Supply Item], Analysis[[#This Row],[ItemID]]))</f>
        <v/>
      </c>
      <c r="L27" s="29" t="str">
        <f>IF(OR(ISBLANK(Analysis[[#This Row],[ItemID]]), Analysis[[#This Row],[ItemID]]=""), "", Analysis[[#This Row],[Self Peak Consumption (W)]]+Analysis[[#This Row],[Children Peak Consumption (W)]])</f>
        <v/>
      </c>
      <c r="M27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7" s="29" t="str">
        <f>IF(OR(ISBLANK(Analysis[[#This Row],[ItemID]]), Analysis[[#This Row],[ItemID]]=""), "", SUMIFS(Analysis[Total Constant Consumption (W)], Analysis[Supply Item], Analysis[[#This Row],[ItemID]]))</f>
        <v/>
      </c>
      <c r="O27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7" t="str">
        <f>IF(IFERROR(Items[[#This Row],[ItemID]], 0)=0, "", Items[[#This Row],[ItemID]])</f>
        <v/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s="26" t="str">
        <f>IF(OR(ISBLANK(Analysis[[#This Row],[ItemID]]), Analysis[[#This Row],[ItemID]]=""), "", VLOOKUP(Analysis[[#This Row],[ItemID]], Items[], COLUMN(Items[Output (V)])-COLUMN(Items[])+1, FALSE))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30" t="str">
        <f>IF(OR(ISBLANK(Analysis[[#This Row],[ItemID]]), Analysis[[#This Row],[ItemID]]=""), "", VLOOKUP(Analysis[[#This Row],[ItemID]], Items[], COLUMN(Items[Thoughput Loss])-COLUMN(Items[])+1, FALSE))</f>
        <v/>
      </c>
      <c r="J28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8" s="29" t="str">
        <f>IF(OR(ISBLANK(Analysis[[#This Row],[ItemID]]), Analysis[[#This Row],[ItemID]]=""), "", SUMIFS(Analysis[Total Peak Consumption (W)], Analysis[Supply Item], Analysis[[#This Row],[ItemID]]))</f>
        <v/>
      </c>
      <c r="L28" s="29" t="str">
        <f>IF(OR(ISBLANK(Analysis[[#This Row],[ItemID]]), Analysis[[#This Row],[ItemID]]=""), "", Analysis[[#This Row],[Self Peak Consumption (W)]]+Analysis[[#This Row],[Children Peak Consumption (W)]])</f>
        <v/>
      </c>
      <c r="M28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8" s="29" t="str">
        <f>IF(OR(ISBLANK(Analysis[[#This Row],[ItemID]]), Analysis[[#This Row],[ItemID]]=""), "", SUMIFS(Analysis[Total Constant Consumption (W)], Analysis[Supply Item], Analysis[[#This Row],[ItemID]]))</f>
        <v/>
      </c>
      <c r="O28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s="26" t="str">
        <f>IF(OR(ISBLANK(Analysis[[#This Row],[ItemID]]), Analysis[[#This Row],[ItemID]]=""), "", VLOOKUP(Analysis[[#This Row],[ItemID]], Items[], COLUMN(Items[Output (V)])-COLUMN(Items[])+1, FALSE))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s="26" t="str">
        <f>IF(OR(ISBLANK(Analysis[[#This Row],[ItemID]]), Analysis[[#This Row],[ItemID]]=""), "", VLOOKUP(Analysis[[#This Row],[ItemID]], Items[], COLUMN(Items[Output (V)])-COLUMN(Items[])+1, FALSE))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FALSE)+(1-Analysis[[#This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workbookViewId="0">
      <selection activeCell="N6" sqref="N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88</v>
      </c>
      <c r="C1" t="s">
        <v>89</v>
      </c>
      <c r="D1" t="s">
        <v>90</v>
      </c>
      <c r="E1" t="s">
        <v>86</v>
      </c>
      <c r="F1" t="s">
        <v>85</v>
      </c>
      <c r="G1" t="s">
        <v>36</v>
      </c>
      <c r="H1" t="s">
        <v>35</v>
      </c>
      <c r="O1" t="s">
        <v>53</v>
      </c>
      <c r="P1" t="s">
        <v>54</v>
      </c>
      <c r="Q1" t="s">
        <v>55</v>
      </c>
      <c r="R1" t="s">
        <v>56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284.15406250000007</v>
      </c>
      <c r="R2" s="4">
        <f>IF(ISBLANK(RailSummary[[#This Row],[Power Rail]]), "", RailSummary[[#This Row],[Voltage (V)]]*RailSummary[[#This Row],[Current (W)]])</f>
        <v>6819.697500000002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284.15406250000007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127.62989583333335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0.7103851562500002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0.31907473958333338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>
        <f>IF(OR(ISBLANK(Results[[#This Row],[ItemID]]), Results[[#This Row],[Constant Current Used]]="", Results[[#This Row],[Battery (mAh)]]=""), "", Results[[#This Row],[Battery (mAh)]]/Results[[#This Row],[Constant Current Used]])</f>
        <v>7.8351548708138026</v>
      </c>
      <c r="K3" t="s">
        <v>38</v>
      </c>
      <c r="L3" s="12" t="str">
        <f>IF(COUNTIF(Results[Constant % Capacity], "&gt;1")=0, IF(COUNTIF(Results[Peak % Capacity], "&gt;1")=0, "GO", "MAYBE"), "HOLD")</f>
        <v>HOLD</v>
      </c>
      <c r="O3" t="s">
        <v>49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(W)]])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87</v>
      </c>
      <c r="L4" s="13" t="str">
        <f>CONCATENATE(TEXT(INT(MIN(Results[Battery Life (hrs)])), "#"),":",TEXT(MOD(MIN(Results[Battery Life (hrs)]), 1)*60, "0#"))</f>
        <v>7:50</v>
      </c>
      <c r="O4" t="s">
        <v>31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(W)]])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39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540.41250000000002</v>
      </c>
      <c r="R5" s="4">
        <f>IF(ISBLANK(RailSummary[[#This Row],[Power Rail]]), "", RailSummary[[#This Row],[Voltage (V)]]*RailSummary[[#This Row],[Current (W)]])</f>
        <v>6484.9500000000007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0.64583333333333337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0.64583333333333337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6" t="str">
        <f>IF(ISBLANK(RailSummary[[#This Row],[Power Rail]]), "", VLOOKUP(RailSummary[[#This Row],[Power Rail]], Analysis[], COLUMN(Analysis[Output (V)])-COLUMN(Analysis[])+1, FALSE))</f>
        <v/>
      </c>
      <c r="Q6" s="5" t="str">
        <f>IF(ISBLANK(RailSummary[[#This Row],[Power Rail]]), "", VLOOKUP(RailSummary[[#This Row],[Power Rail]], Analysis[], COLUMN(Analysis[Peak Output (A)])-COLUMN(Analysis[])+1, FALSE))</f>
        <v/>
      </c>
      <c r="R6" s="4" t="str">
        <f>IF(ISBLANK(RailSummary[[#This Row],[Power Rail]]), "", RailSummary[[#This Row],[Voltage (V)]]*RailSummary[[#This Row],[Current (W)]])</f>
        <v/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1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1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4"/>
      <c r="K7" s="14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(W)]])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(W)]])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12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540.41250000000002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129.47083333333333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45.034375000000004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10.78923611111111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Motor</v>
      </c>
      <c r="B1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2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2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Motor</v>
      </c>
      <c r="B13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4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4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Motor</v>
      </c>
      <c r="B1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6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6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Motor</v>
      </c>
      <c r="B1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18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18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Motor</v>
      </c>
      <c r="B1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40</v>
      </c>
      <c r="C20" s="11">
        <f>IF(OR(ISBLANK(Results[[#This Row],[ItemID]]), Results[[#This Row],[ItemID]]=0, Results[[#This Row],[ItemID]]=""), "", VLOOKUP(Results[[#This Row],[ItemID]], Analysis[], COLUMN(Analysis[Peak Output (A)])-COLUMN(Analysis[])+1, FALSE))</f>
        <v>46.363636363636367</v>
      </c>
      <c r="D20" s="11">
        <f>IF(OR(ISBLANK(Results[[#This Row],[ItemID]]), Results[[#This Row],[ItemID]]=0, Results[[#This Row],[ItemID]]=""), "", VLOOKUP(Results[[#This Row],[ItemID]], Analysis[], COLUMN(Analysis[Constant Output (A)])-COLUMN(Analysis[])+1, FALSE))</f>
        <v>5.4545454545454541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1.1590909090909092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0.13636363636363635</v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Motor</v>
      </c>
      <c r="B2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19" priority="2">
      <formula>INDIRECT(ADDRESS(ROW(), COLUMN()))="HOLD"</formula>
    </cfRule>
    <cfRule type="expression" dxfId="18" priority="4">
      <formula>INDIRECT(ADDRESS(ROW(), COLUMN()))="MAYBE"</formula>
    </cfRule>
    <cfRule type="expression" dxfId="17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68</v>
      </c>
      <c r="B1" t="s">
        <v>91</v>
      </c>
      <c r="C1" t="s">
        <v>69</v>
      </c>
      <c r="E1" s="8" t="s">
        <v>1</v>
      </c>
      <c r="F1" t="s">
        <v>93</v>
      </c>
      <c r="G1" t="s">
        <v>71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60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65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50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15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45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33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58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  <c r="E10" s="9" t="s">
        <v>94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1" s="9" t="s">
        <v>95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  <c r="E12" s="9" t="s">
        <v>70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T-Motor 40A AIR Multirotor ESC (Brushless DC 3-phase)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40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2017-09-30T17:58:43Z</dcterms:modified>
</cp:coreProperties>
</file>