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.talbert\MAVRIC-Electrical\Electrical\"/>
    </mc:Choice>
  </mc:AlternateContent>
  <bookViews>
    <workbookView xWindow="7950" yWindow="0" windowWidth="18825" windowHeight="4845" activeTab="3"/>
  </bookViews>
  <sheets>
    <sheet name="Component Data" sheetId="1" r:id="rId1"/>
    <sheet name="Items" sheetId="7" r:id="rId2"/>
    <sheet name="Analysis" sheetId="4" r:id="rId3"/>
    <sheet name="Results" sheetId="5" r:id="rId4"/>
    <sheet name="Costs" sheetId="6" r:id="rId5"/>
  </sheets>
  <definedNames>
    <definedName name="_xlnm._FilterDatabase" localSheetId="0" hidden="1">'Component Data'!$C$1:$I$1</definedName>
    <definedName name="ComponentIDs">ComponentData[ID]</definedName>
    <definedName name="ItemIDs">Analysis[ItemID]</definedName>
  </definedNames>
  <calcPr calcId="152511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25" i="6"/>
  <c r="B26" i="6"/>
  <c r="B27" i="6"/>
  <c r="B28" i="6"/>
  <c r="B29" i="6"/>
  <c r="B30" i="6"/>
  <c r="B4" i="4"/>
  <c r="D5" i="7" s="1"/>
  <c r="B5" i="4"/>
  <c r="B6" i="4"/>
  <c r="B7" i="4"/>
  <c r="B8" i="4"/>
  <c r="B9" i="4"/>
  <c r="B10" i="4"/>
  <c r="B11" i="4"/>
  <c r="B12" i="4"/>
  <c r="D13" i="7" s="1"/>
  <c r="B13" i="4"/>
  <c r="B14" i="4"/>
  <c r="B15" i="4"/>
  <c r="B16" i="4"/>
  <c r="D17" i="7" s="1"/>
  <c r="B17" i="4"/>
  <c r="B18" i="4"/>
  <c r="B19" i="4"/>
  <c r="B20" i="4"/>
  <c r="D21" i="7" s="1"/>
  <c r="B21" i="4"/>
  <c r="B22" i="4"/>
  <c r="B23" i="4"/>
  <c r="B24" i="4"/>
  <c r="B25" i="4"/>
  <c r="B26" i="4"/>
  <c r="C26" i="4" s="1"/>
  <c r="E26" i="4" s="1"/>
  <c r="B27" i="4"/>
  <c r="C27" i="4" s="1"/>
  <c r="G27" i="4" s="1"/>
  <c r="B28" i="4"/>
  <c r="C28" i="4" s="1"/>
  <c r="E28" i="4" s="1"/>
  <c r="B29" i="4"/>
  <c r="B30" i="4"/>
  <c r="C30" i="4" s="1"/>
  <c r="E30" i="4" s="1"/>
  <c r="B3" i="4"/>
  <c r="C3" i="4" s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I25" i="4" s="1"/>
  <c r="K25" i="4" s="1"/>
  <c r="A26" i="4"/>
  <c r="A27" i="4"/>
  <c r="A28" i="4"/>
  <c r="A29" i="4"/>
  <c r="C29" i="4" s="1"/>
  <c r="E29" i="4" s="1"/>
  <c r="A30" i="4"/>
  <c r="D25" i="4"/>
  <c r="H25" i="4" s="1"/>
  <c r="M25" i="4"/>
  <c r="D26" i="4"/>
  <c r="F26" i="4" s="1"/>
  <c r="I26" i="4"/>
  <c r="K26" i="4" s="1"/>
  <c r="J26" i="4"/>
  <c r="L26" i="4"/>
  <c r="M26" i="4"/>
  <c r="N26" i="4"/>
  <c r="D27" i="4"/>
  <c r="F27" i="4" s="1"/>
  <c r="I27" i="4"/>
  <c r="K27" i="4" s="1"/>
  <c r="J27" i="4"/>
  <c r="L27" i="4"/>
  <c r="M27" i="4"/>
  <c r="N27" i="4" s="1"/>
  <c r="D28" i="4"/>
  <c r="H28" i="4" s="1"/>
  <c r="I28" i="4"/>
  <c r="K28" i="4" s="1"/>
  <c r="J28" i="4"/>
  <c r="L28" i="4"/>
  <c r="M28" i="4"/>
  <c r="N28" i="4" s="1"/>
  <c r="J29" i="4"/>
  <c r="D30" i="4"/>
  <c r="F30" i="4" s="1"/>
  <c r="I30" i="4"/>
  <c r="K30" i="4" s="1"/>
  <c r="J30" i="4"/>
  <c r="L30" i="4"/>
  <c r="M30" i="4"/>
  <c r="N30" i="4" s="1"/>
  <c r="C2" i="4"/>
  <c r="E2" i="4" s="1"/>
  <c r="L2" i="4"/>
  <c r="I2" i="4"/>
  <c r="D2" i="4"/>
  <c r="D2" i="7"/>
  <c r="D3" i="7"/>
  <c r="D25" i="7"/>
  <c r="D26" i="7"/>
  <c r="D27" i="7"/>
  <c r="D28" i="7"/>
  <c r="D29" i="7"/>
  <c r="D30" i="7"/>
  <c r="D31" i="7"/>
  <c r="E2" i="7"/>
  <c r="F2" i="7"/>
  <c r="G2" i="7"/>
  <c r="H2" i="7"/>
  <c r="I2" i="7"/>
  <c r="J2" i="7"/>
  <c r="K2" i="7"/>
  <c r="L2" i="7"/>
  <c r="M2" i="7"/>
  <c r="G17" i="7"/>
  <c r="E4" i="7"/>
  <c r="B4" i="6" s="1"/>
  <c r="F4" i="7"/>
  <c r="G4" i="7"/>
  <c r="H4" i="7"/>
  <c r="I4" i="7"/>
  <c r="I4" i="4" s="1"/>
  <c r="J4" i="7"/>
  <c r="L4" i="4" s="1"/>
  <c r="D4" i="4"/>
  <c r="L4" i="7"/>
  <c r="M4" i="7"/>
  <c r="E5" i="7"/>
  <c r="B5" i="6" s="1"/>
  <c r="F5" i="7"/>
  <c r="G5" i="7"/>
  <c r="H5" i="7"/>
  <c r="I5" i="7"/>
  <c r="I5" i="4" s="1"/>
  <c r="J5" i="7"/>
  <c r="K5" i="7"/>
  <c r="L5" i="7"/>
  <c r="M5" i="7"/>
  <c r="E6" i="7"/>
  <c r="B6" i="6" s="1"/>
  <c r="F6" i="7"/>
  <c r="G6" i="7"/>
  <c r="H6" i="7"/>
  <c r="I6" i="7"/>
  <c r="I6" i="4" s="1"/>
  <c r="J6" i="7"/>
  <c r="L6" i="4" s="1"/>
  <c r="K6" i="7"/>
  <c r="D6" i="4" s="1"/>
  <c r="L6" i="7"/>
  <c r="M6" i="7"/>
  <c r="E7" i="7"/>
  <c r="B7" i="6" s="1"/>
  <c r="F7" i="7"/>
  <c r="G7" i="7"/>
  <c r="H7" i="7"/>
  <c r="I7" i="7"/>
  <c r="I7" i="4" s="1"/>
  <c r="J7" i="7"/>
  <c r="L7" i="4" s="1"/>
  <c r="K7" i="7"/>
  <c r="D7" i="4" s="1"/>
  <c r="L7" i="7"/>
  <c r="M7" i="7"/>
  <c r="E8" i="7"/>
  <c r="B8" i="6" s="1"/>
  <c r="F8" i="7"/>
  <c r="G8" i="7"/>
  <c r="H8" i="7"/>
  <c r="I8" i="7"/>
  <c r="I8" i="4" s="1"/>
  <c r="J8" i="7"/>
  <c r="L8" i="4" s="1"/>
  <c r="K8" i="7"/>
  <c r="D8" i="4" s="1"/>
  <c r="L8" i="7"/>
  <c r="M8" i="7"/>
  <c r="E9" i="7"/>
  <c r="B9" i="6" s="1"/>
  <c r="F9" i="7"/>
  <c r="G9" i="7"/>
  <c r="H9" i="7"/>
  <c r="I9" i="7"/>
  <c r="I9" i="4" s="1"/>
  <c r="J9" i="7"/>
  <c r="L9" i="7"/>
  <c r="M9" i="7"/>
  <c r="E10" i="7"/>
  <c r="B10" i="6" s="1"/>
  <c r="F10" i="7"/>
  <c r="G10" i="7"/>
  <c r="H10" i="7"/>
  <c r="I10" i="7"/>
  <c r="I10" i="4" s="1"/>
  <c r="J10" i="7"/>
  <c r="L10" i="4" s="1"/>
  <c r="K10" i="7"/>
  <c r="D10" i="4" s="1"/>
  <c r="L10" i="7"/>
  <c r="M10" i="7"/>
  <c r="E11" i="7"/>
  <c r="B11" i="6" s="1"/>
  <c r="F11" i="7"/>
  <c r="G11" i="7"/>
  <c r="H11" i="7"/>
  <c r="I11" i="7"/>
  <c r="I11" i="4" s="1"/>
  <c r="J11" i="7"/>
  <c r="L11" i="4" s="1"/>
  <c r="K11" i="7"/>
  <c r="D11" i="4" s="1"/>
  <c r="L11" i="7"/>
  <c r="M11" i="7"/>
  <c r="E12" i="7"/>
  <c r="B12" i="6" s="1"/>
  <c r="F12" i="7"/>
  <c r="G12" i="7"/>
  <c r="H12" i="7"/>
  <c r="I12" i="7"/>
  <c r="I12" i="4" s="1"/>
  <c r="J12" i="7"/>
  <c r="L12" i="4" s="1"/>
  <c r="K12" i="7"/>
  <c r="D12" i="4" s="1"/>
  <c r="L12" i="7"/>
  <c r="M12" i="7"/>
  <c r="E13" i="7"/>
  <c r="B13" i="6" s="1"/>
  <c r="F13" i="7"/>
  <c r="G13" i="7"/>
  <c r="H13" i="7"/>
  <c r="I13" i="7"/>
  <c r="I13" i="4" s="1"/>
  <c r="J13" i="7"/>
  <c r="K13" i="7"/>
  <c r="L13" i="7"/>
  <c r="M13" i="7"/>
  <c r="E14" i="7"/>
  <c r="B14" i="6" s="1"/>
  <c r="F14" i="7"/>
  <c r="G14" i="7"/>
  <c r="H14" i="7"/>
  <c r="I14" i="7"/>
  <c r="I14" i="4" s="1"/>
  <c r="J14" i="7"/>
  <c r="L14" i="4" s="1"/>
  <c r="K14" i="7"/>
  <c r="D14" i="4" s="1"/>
  <c r="L14" i="7"/>
  <c r="M14" i="7"/>
  <c r="E15" i="7"/>
  <c r="B15" i="6" s="1"/>
  <c r="F15" i="7"/>
  <c r="G15" i="7"/>
  <c r="H15" i="7"/>
  <c r="I15" i="7"/>
  <c r="I15" i="4" s="1"/>
  <c r="J15" i="7"/>
  <c r="L15" i="4" s="1"/>
  <c r="K15" i="7"/>
  <c r="D15" i="4" s="1"/>
  <c r="L15" i="7"/>
  <c r="M15" i="7"/>
  <c r="E16" i="7"/>
  <c r="B16" i="6" s="1"/>
  <c r="F16" i="7"/>
  <c r="G16" i="7"/>
  <c r="H16" i="7"/>
  <c r="I16" i="7"/>
  <c r="I16" i="4" s="1"/>
  <c r="J16" i="7"/>
  <c r="L16" i="4" s="1"/>
  <c r="K16" i="7"/>
  <c r="D16" i="4" s="1"/>
  <c r="L16" i="7"/>
  <c r="M16" i="7"/>
  <c r="E17" i="7"/>
  <c r="B17" i="6" s="1"/>
  <c r="F17" i="7"/>
  <c r="H17" i="7"/>
  <c r="I17" i="7"/>
  <c r="I17" i="4" s="1"/>
  <c r="J17" i="7"/>
  <c r="K17" i="7"/>
  <c r="L17" i="7"/>
  <c r="M17" i="7"/>
  <c r="E18" i="7"/>
  <c r="B18" i="6" s="1"/>
  <c r="F18" i="7"/>
  <c r="G18" i="7"/>
  <c r="H18" i="7"/>
  <c r="I18" i="7"/>
  <c r="I18" i="4" s="1"/>
  <c r="J18" i="7"/>
  <c r="L18" i="4" s="1"/>
  <c r="K18" i="7"/>
  <c r="D18" i="4" s="1"/>
  <c r="L18" i="7"/>
  <c r="M18" i="7"/>
  <c r="E19" i="7"/>
  <c r="B19" i="6" s="1"/>
  <c r="F19" i="7"/>
  <c r="G19" i="7"/>
  <c r="H19" i="7"/>
  <c r="I19" i="7"/>
  <c r="I19" i="4" s="1"/>
  <c r="J19" i="7"/>
  <c r="L19" i="4" s="1"/>
  <c r="K19" i="7"/>
  <c r="D19" i="4" s="1"/>
  <c r="L19" i="7"/>
  <c r="M19" i="7"/>
  <c r="E20" i="7"/>
  <c r="B20" i="6" s="1"/>
  <c r="F20" i="7"/>
  <c r="G20" i="7"/>
  <c r="H20" i="7"/>
  <c r="I20" i="7"/>
  <c r="I20" i="4" s="1"/>
  <c r="J20" i="7"/>
  <c r="L20" i="4" s="1"/>
  <c r="K20" i="7"/>
  <c r="D20" i="4" s="1"/>
  <c r="L20" i="7"/>
  <c r="M20" i="7"/>
  <c r="E21" i="7"/>
  <c r="B21" i="6" s="1"/>
  <c r="F21" i="7"/>
  <c r="G21" i="7"/>
  <c r="H21" i="7"/>
  <c r="I21" i="7"/>
  <c r="I21" i="4" s="1"/>
  <c r="J21" i="7"/>
  <c r="K21" i="7"/>
  <c r="L21" i="7"/>
  <c r="M21" i="7"/>
  <c r="E22" i="7"/>
  <c r="B22" i="6" s="1"/>
  <c r="F22" i="7"/>
  <c r="G22" i="7"/>
  <c r="H22" i="7"/>
  <c r="I22" i="7"/>
  <c r="I22" i="4" s="1"/>
  <c r="J22" i="7"/>
  <c r="L22" i="4" s="1"/>
  <c r="K22" i="7"/>
  <c r="D22" i="4" s="1"/>
  <c r="F22" i="4" s="1"/>
  <c r="L22" i="7"/>
  <c r="M22" i="7"/>
  <c r="E23" i="7"/>
  <c r="B23" i="6" s="1"/>
  <c r="F23" i="7"/>
  <c r="G23" i="7"/>
  <c r="H23" i="7"/>
  <c r="I23" i="7"/>
  <c r="I23" i="4" s="1"/>
  <c r="J23" i="7"/>
  <c r="L23" i="4" s="1"/>
  <c r="K23" i="7"/>
  <c r="D23" i="4" s="1"/>
  <c r="F23" i="4" s="1"/>
  <c r="L23" i="7"/>
  <c r="M23" i="7"/>
  <c r="E24" i="7"/>
  <c r="B24" i="6" s="1"/>
  <c r="F24" i="7"/>
  <c r="G24" i="7"/>
  <c r="H24" i="7"/>
  <c r="I24" i="7"/>
  <c r="I24" i="4" s="1"/>
  <c r="J24" i="7"/>
  <c r="L24" i="4" s="1"/>
  <c r="K24" i="7"/>
  <c r="D24" i="4" s="1"/>
  <c r="F24" i="4" s="1"/>
  <c r="L24" i="7"/>
  <c r="M24" i="7"/>
  <c r="E25" i="7"/>
  <c r="F25" i="7"/>
  <c r="G25" i="7"/>
  <c r="H25" i="7"/>
  <c r="I25" i="7"/>
  <c r="J25" i="7"/>
  <c r="K25" i="7"/>
  <c r="L25" i="7"/>
  <c r="M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G28" i="7"/>
  <c r="H28" i="7"/>
  <c r="I28" i="7"/>
  <c r="J28" i="7"/>
  <c r="K28" i="7"/>
  <c r="L28" i="7"/>
  <c r="M28" i="7"/>
  <c r="E29" i="7"/>
  <c r="F29" i="7"/>
  <c r="G29" i="7"/>
  <c r="H29" i="7"/>
  <c r="I29" i="7"/>
  <c r="J29" i="7"/>
  <c r="K29" i="7"/>
  <c r="L29" i="7"/>
  <c r="M29" i="7"/>
  <c r="E30" i="7"/>
  <c r="F30" i="7"/>
  <c r="G30" i="7"/>
  <c r="H30" i="7"/>
  <c r="I30" i="7"/>
  <c r="J30" i="7"/>
  <c r="K30" i="7"/>
  <c r="L30" i="7"/>
  <c r="M30" i="7"/>
  <c r="E31" i="7"/>
  <c r="F31" i="7"/>
  <c r="G31" i="7"/>
  <c r="H31" i="7"/>
  <c r="I31" i="7"/>
  <c r="J31" i="7"/>
  <c r="K31" i="7"/>
  <c r="L31" i="7"/>
  <c r="M31" i="7"/>
  <c r="M3" i="7"/>
  <c r="L3" i="7"/>
  <c r="K3" i="7"/>
  <c r="J3" i="7"/>
  <c r="I3" i="7"/>
  <c r="I3" i="4" s="1"/>
  <c r="H3" i="7"/>
  <c r="G3" i="7"/>
  <c r="F3" i="7"/>
  <c r="E3" i="7"/>
  <c r="B3" i="6" s="1"/>
  <c r="C18" i="4" l="1"/>
  <c r="C23" i="4"/>
  <c r="C19" i="4"/>
  <c r="C11" i="4"/>
  <c r="C20" i="4"/>
  <c r="C7" i="4"/>
  <c r="C24" i="4"/>
  <c r="D6" i="7"/>
  <c r="C8" i="4"/>
  <c r="L17" i="4"/>
  <c r="C15" i="4"/>
  <c r="J22" i="4"/>
  <c r="K22" i="4" s="1"/>
  <c r="C16" i="4"/>
  <c r="C12" i="4"/>
  <c r="C4" i="4"/>
  <c r="C22" i="4"/>
  <c r="C14" i="4"/>
  <c r="C10" i="4"/>
  <c r="M22" i="4"/>
  <c r="N22" i="4" s="1"/>
  <c r="L9" i="4"/>
  <c r="L3" i="4"/>
  <c r="L13" i="4"/>
  <c r="L5" i="4"/>
  <c r="D9" i="7"/>
  <c r="J24" i="4"/>
  <c r="K24" i="4" s="1"/>
  <c r="M23" i="4"/>
  <c r="N23" i="4" s="1"/>
  <c r="G23" i="4" s="1"/>
  <c r="C6" i="4"/>
  <c r="J21" i="4"/>
  <c r="K21" i="4" s="1"/>
  <c r="M24" i="4"/>
  <c r="N24" i="4" s="1"/>
  <c r="J23" i="4"/>
  <c r="K23" i="4" s="1"/>
  <c r="E23" i="4" s="1"/>
  <c r="D24" i="7"/>
  <c r="D20" i="7"/>
  <c r="D16" i="7"/>
  <c r="D12" i="7"/>
  <c r="D8" i="7"/>
  <c r="D4" i="7"/>
  <c r="I29" i="4"/>
  <c r="K29" i="4" s="1"/>
  <c r="L25" i="4"/>
  <c r="C25" i="4"/>
  <c r="E25" i="4" s="1"/>
  <c r="M21" i="4"/>
  <c r="D21" i="4"/>
  <c r="F21" i="4" s="1"/>
  <c r="D17" i="4"/>
  <c r="D13" i="4"/>
  <c r="D9" i="4"/>
  <c r="P5" i="5" s="1"/>
  <c r="D5" i="4"/>
  <c r="D3" i="4"/>
  <c r="D23" i="7"/>
  <c r="D19" i="7"/>
  <c r="D15" i="7"/>
  <c r="D11" i="7"/>
  <c r="D7" i="7"/>
  <c r="M29" i="4"/>
  <c r="N29" i="4" s="1"/>
  <c r="D29" i="4"/>
  <c r="H29" i="4" s="1"/>
  <c r="J25" i="4"/>
  <c r="L21" i="4"/>
  <c r="C21" i="4"/>
  <c r="C17" i="4"/>
  <c r="C13" i="4"/>
  <c r="C9" i="4"/>
  <c r="C5" i="4"/>
  <c r="D22" i="7"/>
  <c r="D18" i="7"/>
  <c r="D14" i="7"/>
  <c r="D10" i="7"/>
  <c r="L29" i="4"/>
  <c r="N25" i="4"/>
  <c r="F28" i="4"/>
  <c r="H24" i="4"/>
  <c r="H21" i="4"/>
  <c r="H22" i="4"/>
  <c r="H26" i="4"/>
  <c r="H30" i="4"/>
  <c r="H23" i="4"/>
  <c r="H27" i="4"/>
  <c r="F25" i="4"/>
  <c r="G28" i="4"/>
  <c r="G26" i="4"/>
  <c r="G30" i="4"/>
  <c r="E27" i="4"/>
  <c r="G29" i="4"/>
  <c r="G2" i="4"/>
  <c r="A2" i="6"/>
  <c r="C2" i="6" s="1"/>
  <c r="A3" i="6"/>
  <c r="C3" i="6" s="1"/>
  <c r="A4" i="6"/>
  <c r="C4" i="6" s="1"/>
  <c r="A5" i="6"/>
  <c r="C5" i="6" s="1"/>
  <c r="A6" i="6"/>
  <c r="C6" i="6" s="1"/>
  <c r="A7" i="6"/>
  <c r="C7" i="6" s="1"/>
  <c r="A8" i="6"/>
  <c r="C8" i="6" s="1"/>
  <c r="A9" i="6"/>
  <c r="C9" i="6" s="1"/>
  <c r="A10" i="6"/>
  <c r="C10" i="6" s="1"/>
  <c r="A11" i="6"/>
  <c r="C11" i="6" s="1"/>
  <c r="A12" i="6"/>
  <c r="C12" i="6" s="1"/>
  <c r="A13" i="6"/>
  <c r="C13" i="6" s="1"/>
  <c r="A14" i="6"/>
  <c r="C14" i="6" s="1"/>
  <c r="A15" i="6"/>
  <c r="C15" i="6" s="1"/>
  <c r="A16" i="6"/>
  <c r="C16" i="6" s="1"/>
  <c r="A17" i="6"/>
  <c r="C17" i="6" s="1"/>
  <c r="A18" i="6"/>
  <c r="C18" i="6" s="1"/>
  <c r="A19" i="6"/>
  <c r="C19" i="6" s="1"/>
  <c r="A20" i="6"/>
  <c r="C20" i="6" s="1"/>
  <c r="A21" i="6"/>
  <c r="C21" i="6" s="1"/>
  <c r="A22" i="6"/>
  <c r="C22" i="6" s="1"/>
  <c r="A23" i="6"/>
  <c r="C23" i="6" s="1"/>
  <c r="A24" i="6"/>
  <c r="C24" i="6" s="1"/>
  <c r="A25" i="6"/>
  <c r="C25" i="6" s="1"/>
  <c r="A26" i="6"/>
  <c r="C26" i="6" s="1"/>
  <c r="A27" i="6"/>
  <c r="C27" i="6" s="1"/>
  <c r="A28" i="6"/>
  <c r="C28" i="6" s="1"/>
  <c r="A29" i="6"/>
  <c r="C29" i="6" s="1"/>
  <c r="A30" i="6"/>
  <c r="C30" i="6" s="1"/>
  <c r="R6" i="5"/>
  <c r="R7" i="5"/>
  <c r="R8" i="5"/>
  <c r="Q6" i="5"/>
  <c r="Q7" i="5"/>
  <c r="Q8" i="5"/>
  <c r="P6" i="5"/>
  <c r="P7" i="5"/>
  <c r="P8" i="5"/>
  <c r="P2" i="5"/>
  <c r="P4" i="5"/>
  <c r="P3" i="5"/>
  <c r="A3" i="5"/>
  <c r="G3" i="5" s="1"/>
  <c r="A4" i="5"/>
  <c r="G4" i="5" s="1"/>
  <c r="A5" i="5"/>
  <c r="G5" i="5" s="1"/>
  <c r="A6" i="5"/>
  <c r="G6" i="5" s="1"/>
  <c r="A7" i="5"/>
  <c r="G7" i="5" s="1"/>
  <c r="A8" i="5"/>
  <c r="G8" i="5" s="1"/>
  <c r="A9" i="5"/>
  <c r="G9" i="5" s="1"/>
  <c r="A10" i="5"/>
  <c r="G10" i="5" s="1"/>
  <c r="A11" i="5"/>
  <c r="G11" i="5" s="1"/>
  <c r="A12" i="5"/>
  <c r="G12" i="5" s="1"/>
  <c r="A13" i="5"/>
  <c r="G13" i="5" s="1"/>
  <c r="A14" i="5"/>
  <c r="G14" i="5" s="1"/>
  <c r="A15" i="5"/>
  <c r="G15" i="5" s="1"/>
  <c r="A16" i="5"/>
  <c r="G16" i="5" s="1"/>
  <c r="A17" i="5"/>
  <c r="G17" i="5" s="1"/>
  <c r="A18" i="5"/>
  <c r="G18" i="5" s="1"/>
  <c r="A19" i="5"/>
  <c r="G19" i="5" s="1"/>
  <c r="A20" i="5"/>
  <c r="G20" i="5" s="1"/>
  <c r="A21" i="5"/>
  <c r="G21" i="5" s="1"/>
  <c r="A22" i="5"/>
  <c r="G22" i="5" s="1"/>
  <c r="A23" i="5"/>
  <c r="G23" i="5" s="1"/>
  <c r="A24" i="5"/>
  <c r="G24" i="5" s="1"/>
  <c r="A25" i="5"/>
  <c r="G25" i="5" s="1"/>
  <c r="A26" i="5"/>
  <c r="G26" i="5" s="1"/>
  <c r="A27" i="5"/>
  <c r="G27" i="5" s="1"/>
  <c r="A28" i="5"/>
  <c r="G28" i="5" s="1"/>
  <c r="A29" i="5"/>
  <c r="G29" i="5" s="1"/>
  <c r="A30" i="5"/>
  <c r="G30" i="5" s="1"/>
  <c r="A2" i="5"/>
  <c r="G2" i="5" s="1"/>
  <c r="G22" i="4" l="1"/>
  <c r="E22" i="4"/>
  <c r="E24" i="4"/>
  <c r="N21" i="4"/>
  <c r="G21" i="4" s="1"/>
  <c r="G24" i="4"/>
  <c r="G25" i="4"/>
  <c r="E21" i="4"/>
  <c r="F29" i="4"/>
  <c r="D29" i="5"/>
  <c r="H29" i="5" s="1"/>
  <c r="D21" i="5"/>
  <c r="H21" i="5" s="1"/>
  <c r="D24" i="5"/>
  <c r="H24" i="5" s="1"/>
  <c r="D27" i="5"/>
  <c r="H27" i="5" s="1"/>
  <c r="D23" i="5"/>
  <c r="H23" i="5" s="1"/>
  <c r="D25" i="5"/>
  <c r="H25" i="5" s="1"/>
  <c r="D28" i="5"/>
  <c r="H28" i="5" s="1"/>
  <c r="D30" i="5"/>
  <c r="H30" i="5" s="1"/>
  <c r="D26" i="5"/>
  <c r="H26" i="5" s="1"/>
  <c r="D22" i="5"/>
  <c r="H22" i="5" s="1"/>
  <c r="B27" i="5"/>
  <c r="C27" i="5"/>
  <c r="B15" i="5"/>
  <c r="B7" i="5"/>
  <c r="B30" i="5"/>
  <c r="C30" i="5"/>
  <c r="B22" i="5"/>
  <c r="C22" i="5"/>
  <c r="B14" i="5"/>
  <c r="B6" i="5"/>
  <c r="B29" i="5"/>
  <c r="C29" i="5"/>
  <c r="B21" i="5"/>
  <c r="C21" i="5"/>
  <c r="B28" i="5"/>
  <c r="C28" i="5"/>
  <c r="B24" i="5"/>
  <c r="C24" i="5"/>
  <c r="B20" i="5"/>
  <c r="B16" i="5"/>
  <c r="B12" i="5"/>
  <c r="B8" i="5"/>
  <c r="B4" i="5"/>
  <c r="B19" i="5"/>
  <c r="B2" i="5"/>
  <c r="B23" i="5"/>
  <c r="C23" i="5"/>
  <c r="B11" i="5"/>
  <c r="B3" i="5"/>
  <c r="B26" i="5"/>
  <c r="C26" i="5"/>
  <c r="B18" i="5"/>
  <c r="B10" i="5"/>
  <c r="B25" i="5"/>
  <c r="C25" i="5"/>
  <c r="B17" i="5"/>
  <c r="B13" i="5"/>
  <c r="B9" i="5"/>
  <c r="B5" i="5"/>
  <c r="M13" i="4"/>
  <c r="H13" i="4" s="1"/>
  <c r="M11" i="4"/>
  <c r="H11" i="4" s="1"/>
  <c r="J13" i="4"/>
  <c r="F13" i="4" s="1"/>
  <c r="F23" i="5" l="1"/>
  <c r="F21" i="5"/>
  <c r="F25" i="5"/>
  <c r="F26" i="5"/>
  <c r="D11" i="5"/>
  <c r="H11" i="5" s="1"/>
  <c r="D13" i="5"/>
  <c r="N13" i="4"/>
  <c r="G13" i="4" s="1"/>
  <c r="F28" i="5"/>
  <c r="F29" i="5"/>
  <c r="N11" i="4"/>
  <c r="G11" i="4" s="1"/>
  <c r="F27" i="5"/>
  <c r="E24" i="5"/>
  <c r="F24" i="5"/>
  <c r="E22" i="5"/>
  <c r="F22" i="5"/>
  <c r="E26" i="5"/>
  <c r="E30" i="5"/>
  <c r="F30" i="5"/>
  <c r="E28" i="5"/>
  <c r="E25" i="5"/>
  <c r="E27" i="5"/>
  <c r="E23" i="5"/>
  <c r="E21" i="5"/>
  <c r="E29" i="5"/>
  <c r="K13" i="4"/>
  <c r="E13" i="4" s="1"/>
  <c r="C13" i="5"/>
  <c r="E13" i="5" s="1"/>
  <c r="M5" i="4"/>
  <c r="H5" i="4" s="1"/>
  <c r="J5" i="4"/>
  <c r="F5" i="4" s="1"/>
  <c r="C5" i="5" l="1"/>
  <c r="E5" i="5" s="1"/>
  <c r="F11" i="5"/>
  <c r="H13" i="5"/>
  <c r="F13" i="5"/>
  <c r="D5" i="5"/>
  <c r="H5" i="5" s="1"/>
  <c r="J8" i="4"/>
  <c r="F8" i="4" s="1"/>
  <c r="N5" i="4"/>
  <c r="K5" i="4"/>
  <c r="M8" i="4"/>
  <c r="H8" i="4" s="1"/>
  <c r="E5" i="4" l="1"/>
  <c r="C8" i="5"/>
  <c r="E8" i="5" s="1"/>
  <c r="F5" i="5"/>
  <c r="D8" i="5"/>
  <c r="F8" i="5" s="1"/>
  <c r="K8" i="4"/>
  <c r="E8" i="4" s="1"/>
  <c r="N8" i="4"/>
  <c r="G8" i="4" s="1"/>
  <c r="G5" i="4"/>
  <c r="H8" i="5" l="1"/>
  <c r="M2" i="4"/>
  <c r="H2" i="4" s="1"/>
  <c r="J2" i="4"/>
  <c r="F2" i="4" s="1"/>
  <c r="C2" i="5" l="1"/>
  <c r="E2" i="5" s="1"/>
  <c r="D2" i="5"/>
  <c r="H2" i="5" s="1"/>
  <c r="N2" i="4"/>
  <c r="K2" i="4"/>
  <c r="E3" i="4" l="1"/>
  <c r="F2" i="5"/>
  <c r="H15" i="4" l="1"/>
  <c r="D15" i="5" s="1"/>
  <c r="F15" i="5" s="1"/>
  <c r="H17" i="4"/>
  <c r="D17" i="5" s="1"/>
  <c r="H19" i="4"/>
  <c r="D19" i="5" s="1"/>
  <c r="H19" i="5" s="1"/>
  <c r="F17" i="4"/>
  <c r="C17" i="5" s="1"/>
  <c r="E17" i="5" s="1"/>
  <c r="F11" i="4"/>
  <c r="C11" i="5" s="1"/>
  <c r="E11" i="5" s="1"/>
  <c r="F15" i="4"/>
  <c r="C15" i="5" s="1"/>
  <c r="E15" i="5" s="1"/>
  <c r="F19" i="4"/>
  <c r="C19" i="5" s="1"/>
  <c r="E19" i="5" s="1"/>
  <c r="J19" i="4"/>
  <c r="K19" i="4" s="1"/>
  <c r="E19" i="4" s="1"/>
  <c r="J17" i="4"/>
  <c r="K17" i="4" s="1"/>
  <c r="E17" i="4" s="1"/>
  <c r="M15" i="4"/>
  <c r="N15" i="4" s="1"/>
  <c r="G15" i="4" s="1"/>
  <c r="J11" i="4"/>
  <c r="K11" i="4" s="1"/>
  <c r="E11" i="4" s="1"/>
  <c r="M17" i="4"/>
  <c r="N17" i="4" s="1"/>
  <c r="G17" i="4" s="1"/>
  <c r="J15" i="4"/>
  <c r="K15" i="4" s="1"/>
  <c r="E15" i="4" s="1"/>
  <c r="M19" i="4"/>
  <c r="N19" i="4" s="1"/>
  <c r="G19" i="4" s="1"/>
  <c r="F17" i="5" l="1"/>
  <c r="H17" i="5"/>
  <c r="F19" i="5"/>
  <c r="H15" i="5"/>
  <c r="J12" i="4"/>
  <c r="K12" i="4" s="1"/>
  <c r="E12" i="4" s="1"/>
  <c r="M18" i="4"/>
  <c r="H18" i="4" s="1"/>
  <c r="D18" i="5" s="1"/>
  <c r="J7" i="4"/>
  <c r="F7" i="4" s="1"/>
  <c r="C7" i="5" s="1"/>
  <c r="E7" i="5" s="1"/>
  <c r="M20" i="4"/>
  <c r="H20" i="4" s="1"/>
  <c r="D20" i="5" s="1"/>
  <c r="M7" i="4"/>
  <c r="N7" i="4" s="1"/>
  <c r="M4" i="4"/>
  <c r="N4" i="4" s="1"/>
  <c r="M10" i="4"/>
  <c r="H10" i="4" s="1"/>
  <c r="D10" i="5" s="1"/>
  <c r="H10" i="5" s="1"/>
  <c r="J14" i="4"/>
  <c r="K14" i="4" s="1"/>
  <c r="E14" i="4" s="1"/>
  <c r="J18" i="4"/>
  <c r="K18" i="4" s="1"/>
  <c r="E18" i="4" s="1"/>
  <c r="M12" i="4"/>
  <c r="N12" i="4" s="1"/>
  <c r="G12" i="4" s="1"/>
  <c r="M14" i="4"/>
  <c r="N14" i="4" s="1"/>
  <c r="G14" i="4" s="1"/>
  <c r="J10" i="4"/>
  <c r="F10" i="4" s="1"/>
  <c r="C10" i="5" s="1"/>
  <c r="E10" i="5" s="1"/>
  <c r="J16" i="4"/>
  <c r="F16" i="4" s="1"/>
  <c r="C16" i="5" s="1"/>
  <c r="E16" i="5" s="1"/>
  <c r="J20" i="4"/>
  <c r="F20" i="4" s="1"/>
  <c r="C20" i="5" s="1"/>
  <c r="E20" i="5" s="1"/>
  <c r="M16" i="4"/>
  <c r="H16" i="4" s="1"/>
  <c r="D16" i="5" s="1"/>
  <c r="J4" i="4"/>
  <c r="F4" i="4" s="1"/>
  <c r="H7" i="4" l="1"/>
  <c r="D7" i="5" s="1"/>
  <c r="H7" i="5" s="1"/>
  <c r="N18" i="4"/>
  <c r="G18" i="4" s="1"/>
  <c r="K4" i="4"/>
  <c r="H12" i="4"/>
  <c r="D12" i="5" s="1"/>
  <c r="H12" i="5" s="1"/>
  <c r="F14" i="4"/>
  <c r="C14" i="5" s="1"/>
  <c r="E14" i="5" s="1"/>
  <c r="N10" i="4"/>
  <c r="G10" i="4" s="1"/>
  <c r="F12" i="4"/>
  <c r="C12" i="5" s="1"/>
  <c r="E12" i="5" s="1"/>
  <c r="N16" i="4"/>
  <c r="G16" i="4" s="1"/>
  <c r="K10" i="4"/>
  <c r="E10" i="4" s="1"/>
  <c r="N20" i="4"/>
  <c r="G20" i="4" s="1"/>
  <c r="K7" i="4"/>
  <c r="C4" i="5"/>
  <c r="E4" i="5" s="1"/>
  <c r="Q4" i="5"/>
  <c r="R4" i="5" s="1"/>
  <c r="G4" i="4"/>
  <c r="F20" i="5"/>
  <c r="H20" i="5"/>
  <c r="F16" i="5"/>
  <c r="H16" i="5"/>
  <c r="G7" i="4"/>
  <c r="M6" i="4"/>
  <c r="H18" i="5"/>
  <c r="F18" i="5"/>
  <c r="H14" i="4"/>
  <c r="D14" i="5" s="1"/>
  <c r="F10" i="5"/>
  <c r="K20" i="4"/>
  <c r="E20" i="4" s="1"/>
  <c r="K16" i="4"/>
  <c r="E16" i="4" s="1"/>
  <c r="E4" i="4"/>
  <c r="F18" i="4"/>
  <c r="C18" i="5" s="1"/>
  <c r="E18" i="5" s="1"/>
  <c r="H4" i="4"/>
  <c r="D4" i="5" s="1"/>
  <c r="F7" i="5" l="1"/>
  <c r="F12" i="5"/>
  <c r="M9" i="4"/>
  <c r="N9" i="4" s="1"/>
  <c r="G9" i="4" s="1"/>
  <c r="J6" i="4"/>
  <c r="E7" i="4"/>
  <c r="H9" i="4"/>
  <c r="D9" i="5" s="1"/>
  <c r="F14" i="5"/>
  <c r="H14" i="5"/>
  <c r="F4" i="5"/>
  <c r="H4" i="5"/>
  <c r="H6" i="4"/>
  <c r="D6" i="5" s="1"/>
  <c r="N6" i="4"/>
  <c r="J9" i="4"/>
  <c r="K6" i="4" l="1"/>
  <c r="E6" i="4" s="1"/>
  <c r="F6" i="4"/>
  <c r="K9" i="4"/>
  <c r="F9" i="4"/>
  <c r="M3" i="4"/>
  <c r="G6" i="4"/>
  <c r="F9" i="5"/>
  <c r="H9" i="5"/>
  <c r="H6" i="5"/>
  <c r="F6" i="5"/>
  <c r="Q3" i="5" l="1"/>
  <c r="R3" i="5" s="1"/>
  <c r="C6" i="5"/>
  <c r="E6" i="5" s="1"/>
  <c r="H3" i="4"/>
  <c r="D3" i="5" s="1"/>
  <c r="N3" i="4"/>
  <c r="G3" i="4" s="1"/>
  <c r="Q5" i="5"/>
  <c r="R5" i="5" s="1"/>
  <c r="C9" i="5"/>
  <c r="E9" i="5" s="1"/>
  <c r="E9" i="4"/>
  <c r="J3" i="4"/>
  <c r="F3" i="4" l="1"/>
  <c r="K3" i="4"/>
  <c r="H3" i="5"/>
  <c r="L4" i="5" s="1"/>
  <c r="F3" i="5"/>
  <c r="C3" i="5" l="1"/>
  <c r="E3" i="5" s="1"/>
  <c r="L3" i="5" s="1"/>
  <c r="Q2" i="5"/>
  <c r="R2" i="5" s="1"/>
</calcChain>
</file>

<file path=xl/sharedStrings.xml><?xml version="1.0" encoding="utf-8"?>
<sst xmlns="http://schemas.openxmlformats.org/spreadsheetml/2006/main" count="167" uniqueCount="95">
  <si>
    <t>Name</t>
  </si>
  <si>
    <t>Component</t>
  </si>
  <si>
    <t>Manufacturer</t>
  </si>
  <si>
    <t>Source</t>
  </si>
  <si>
    <t>Price</t>
  </si>
  <si>
    <t>ID</t>
  </si>
  <si>
    <t>Victor SP DC Motor Driver</t>
  </si>
  <si>
    <t>VEX PRO</t>
  </si>
  <si>
    <t>https://www.vexrobotics.com/217-9090.html</t>
  </si>
  <si>
    <t>VEX ESC</t>
  </si>
  <si>
    <t>LiPo</t>
  </si>
  <si>
    <t>ItemID</t>
  </si>
  <si>
    <t>Output (V)</t>
  </si>
  <si>
    <t>Output (A)</t>
  </si>
  <si>
    <t>Battery Pack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</si>
  <si>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</si>
  <si>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</si>
  <si>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</si>
  <si>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</si>
  <si>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</si>
  <si>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</si>
  <si>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</si>
  <si>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</si>
  <si>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</si>
  <si>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</si>
  <si>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</si>
  <si>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</si>
  <si>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</si>
  <si>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</si>
  <si>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</si>
  <si>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</si>
  <si>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Linear Regulator</t>
  </si>
  <si>
    <t>Logic Supply</t>
  </si>
  <si>
    <t>Raspberry Pi</t>
  </si>
  <si>
    <t>Raspberry Pi 3 Rev 1.2</t>
  </si>
  <si>
    <t>Master Control</t>
  </si>
  <si>
    <t>Battery Life (hrs)</t>
  </si>
  <si>
    <t>Battery (mAh)</t>
  </si>
  <si>
    <t>Supply Item</t>
  </si>
  <si>
    <t>Status:</t>
  </si>
  <si>
    <t>Dirty Power</t>
  </si>
  <si>
    <t>Antenna</t>
  </si>
  <si>
    <t>Ubiquity</t>
  </si>
  <si>
    <t>http://www.doubleradius.com/s.nl/sc.1/category./.f?search=rocket+m3</t>
  </si>
  <si>
    <t>POE Injector</t>
  </si>
  <si>
    <t>Transceiver</t>
  </si>
  <si>
    <t>Homemade POE injection</t>
  </si>
  <si>
    <t>Gabe</t>
  </si>
  <si>
    <t>?</t>
  </si>
  <si>
    <t>RM3</t>
  </si>
  <si>
    <t>Comms Power</t>
  </si>
  <si>
    <t>AMO-3G12 - Ubiquiti Antenna 3.4-3.7 GHz 12dBi Omni-directional</t>
  </si>
  <si>
    <t>3GHz Antenna</t>
  </si>
  <si>
    <t>http://www.balticnetworks.com/ubiquiti-airmax-omni-3-4-3-7-ghz-12dbi-omni-directional-antenna.html</t>
  </si>
  <si>
    <t>Power Rail</t>
  </si>
  <si>
    <t>Voltage (V)</t>
  </si>
  <si>
    <t>Current (W)</t>
  </si>
  <si>
    <t>Power (W)</t>
  </si>
  <si>
    <t>Wheel Motor</t>
  </si>
  <si>
    <t>Ubiquity Rocket M3</t>
  </si>
  <si>
    <t>https://www.servocity.com/12-rpm-hd-premium-planetary-gear-motor-w-encoder</t>
  </si>
  <si>
    <t>12 RPM HD Premium Planetary Gear Motor w/Encoder</t>
  </si>
  <si>
    <t>Shoulder Motor</t>
  </si>
  <si>
    <t>12RPM Motor</t>
  </si>
  <si>
    <t>26RPM Motor</t>
  </si>
  <si>
    <t>https://www.servocity.com/26-rpm-premium-planetary-gear-motor-w-encoder</t>
  </si>
  <si>
    <t>26 RPM Premium Planetary Gear Motor w/Encoder</t>
  </si>
  <si>
    <t>Base Motor</t>
  </si>
  <si>
    <t>Upper Limb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</si>
  <si>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</si>
  <si>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</si>
  <si>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</si>
  <si>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</si>
  <si>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</si>
  <si>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</si>
  <si>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</si>
  <si>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</si>
  <si>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</si>
  <si>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</si>
  <si>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</si>
  <si>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</si>
  <si>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</si>
  <si>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</si>
  <si>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</si>
  <si>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</si>
  <si>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</si>
  <si>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</si>
  <si>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</si>
  <si>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</si>
  <si>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</si>
  <si>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</si>
  <si>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</si>
  <si>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</si>
  <si>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</si>
  <si>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Linear Voltage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</si>
</sst>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0" fontId="0" fillId="0" borderId="1" xfId="0" applyBorder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1" fillId="0" borderId="0" xfId="0" applyNumberFormat="1" applyFo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2" fillId="0" borderId="0" xfId="0" applyFont="1" applyAlignment="1"/>
    <xf numFmtId="0" fontId="0" fillId="0" borderId="0" xfId="0" applyNumberFormat="1" applyBorder="1"/>
    <xf numFmtId="0" fontId="0" fillId="0" borderId="2" xfId="0" applyBorder="1" applyAlignment="1"/>
    <xf numFmtId="0" fontId="0" fillId="0" borderId="2" xfId="0" applyNumberFormat="1" applyBorder="1" applyAlignment="1"/>
  </cellXfs>
  <cellStyles count="1">
    <cellStyle name="Normal" xfId="0" builtinId="0"/>
  </cellStyles>
  <dxfs count="60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164" formatCode="&quot;$&quot;#,##0.00"/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165" formatCode="0.0"/>
    </dxf>
    <dxf>
      <numFmt numFmtId="2" formatCode="0.0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4" formatCode="#,##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lbert, James" refreshedDate="42955.635486805557" createdVersion="5" refreshedVersion="5" minRefreshableVersion="3" recordCount="29">
  <cacheSource type="worksheet">
    <worksheetSource name="Costs"/>
  </cacheSource>
  <cacheFields count="3">
    <cacheField name="Item" numFmtId="0">
      <sharedItems/>
    </cacheField>
    <cacheField name="Component Name" numFmtId="0">
      <sharedItems count="10">
        <s v=""/>
        <s v="Linear Regulator"/>
        <s v="Raspberry Pi 3 Rev 1.2"/>
        <s v="Homemade POE injection"/>
        <s v="Ubiquity Rocket M3"/>
        <s v="AMO-3G12 - Ubiquiti Antenna 3.4-3.7 GHz 12dBi Omni-directional"/>
        <s v="Victor SP DC Motor Driver"/>
        <s v="Banebots RS-550 Motor 19300rpm 12V 70.55oz-in"/>
        <s v="12 RPM HD Premium Planetary Gear Motor w/Encoder"/>
        <s v="26 RPM Premium Planetary Gear Motor w/Encoder"/>
      </sharedItems>
    </cacheField>
    <cacheField name="Cost" numFmtId="164">
      <sharedItems containsMixedTypes="1" containsNumber="1" minValue="7.25" maxValue="180" count="7">
        <s v=""/>
        <n v="30"/>
        <n v="180"/>
        <n v="150"/>
        <n v="60"/>
        <n v="7.25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"/>
    <x v="0"/>
    <x v="0"/>
  </r>
  <r>
    <s v="Battery Pack"/>
    <x v="0"/>
    <x v="0"/>
  </r>
  <r>
    <s v="Logic Supply"/>
    <x v="1"/>
    <x v="0"/>
  </r>
  <r>
    <s v="Master Control"/>
    <x v="2"/>
    <x v="1"/>
  </r>
  <r>
    <s v="Comms Power"/>
    <x v="3"/>
    <x v="0"/>
  </r>
  <r>
    <s v="Transceiver"/>
    <x v="4"/>
    <x v="2"/>
  </r>
  <r>
    <s v="Antenna"/>
    <x v="5"/>
    <x v="3"/>
  </r>
  <r>
    <s v="Dirty Power"/>
    <x v="1"/>
    <x v="0"/>
  </r>
  <r>
    <s v="FrontRight ESC"/>
    <x v="6"/>
    <x v="4"/>
  </r>
  <r>
    <s v="FrontRight Motor"/>
    <x v="7"/>
    <x v="5"/>
  </r>
  <r>
    <s v="MidRight ESC"/>
    <x v="6"/>
    <x v="4"/>
  </r>
  <r>
    <s v="MidRight Motor"/>
    <x v="7"/>
    <x v="5"/>
  </r>
  <r>
    <s v="BackRight ESC"/>
    <x v="6"/>
    <x v="4"/>
  </r>
  <r>
    <s v="BackRight Motor"/>
    <x v="7"/>
    <x v="5"/>
  </r>
  <r>
    <s v="FrontLeft ESC"/>
    <x v="6"/>
    <x v="4"/>
  </r>
  <r>
    <s v="FrontLeft Motor"/>
    <x v="7"/>
    <x v="5"/>
  </r>
  <r>
    <s v="MidLeft ESC"/>
    <x v="6"/>
    <x v="4"/>
  </r>
  <r>
    <s v="MidLeft Motor"/>
    <x v="7"/>
    <x v="5"/>
  </r>
  <r>
    <s v="BackLeft ESC"/>
    <x v="6"/>
    <x v="4"/>
  </r>
  <r>
    <s v="BackLeft Motor"/>
    <x v="7"/>
    <x v="5"/>
  </r>
  <r>
    <s v="Shoulder Motor"/>
    <x v="8"/>
    <x v="4"/>
  </r>
  <r>
    <s v="Base Motor"/>
    <x v="9"/>
    <x v="6"/>
  </r>
  <r>
    <s v="Upper Limb Motor"/>
    <x v="9"/>
    <x v="6"/>
  </r>
  <r>
    <s v=""/>
    <x v="0"/>
    <x v="0"/>
  </r>
  <r>
    <s v=""/>
    <x v="0"/>
    <x v="0"/>
  </r>
  <r>
    <s v=""/>
    <x v="0"/>
    <x v="0"/>
  </r>
  <r>
    <s v=""/>
    <x v="0"/>
    <x v="0"/>
  </r>
  <r>
    <s v=""/>
    <x v="0"/>
    <x v="0"/>
  </r>
  <r>
    <s v="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onent">
  <location ref="E1:F12" firstHeaderRow="1" firstDataRow="1" firstDataCol="1"/>
  <pivotFields count="3">
    <pivotField showAll="0"/>
    <pivotField axis="axisRow" showAll="0">
      <items count="11">
        <item x="0"/>
        <item x="8"/>
        <item x="9"/>
        <item x="5"/>
        <item x="7"/>
        <item x="3"/>
        <item x="1"/>
        <item x="2"/>
        <item x="4"/>
        <item x="6"/>
        <item t="default"/>
      </items>
    </pivotField>
    <pivotField dataField="1" showAll="0">
      <items count="8">
        <item x="5"/>
        <item x="1"/>
        <item x="6"/>
        <item x="4"/>
        <item x="3"/>
        <item x="2"/>
        <item x="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Total Cost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ComponentData" displayName="ComponentData" ref="A1:J11" totalsRowShown="0">
  <autoFilter ref="A1:J11"/>
  <tableColumns count="10">
    <tableColumn id="1" name="ID" dataDxfId="59"/>
    <tableColumn id="6" name="Name" dataDxfId="58"/>
    <tableColumn id="2" name="Manufacturer" dataDxfId="57"/>
    <tableColumn id="3" name="Source" dataDxfId="56"/>
    <tableColumn id="4" name="Price" dataDxfId="55"/>
    <tableColumn id="5" name="Peak Consumption (W)" dataDxfId="54"/>
    <tableColumn id="10" name="Constant Consumption (W)" dataDxfId="53"/>
    <tableColumn id="7" name="Output (V)" dataDxfId="52"/>
    <tableColumn id="8" name="Output (A)" dataDxfId="51"/>
    <tableColumn id="9" name="Battery (mAh)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Items" displayName="Items" ref="A1:M31" totalsRowShown="0" headerRowDxfId="35" dataDxfId="34">
  <autoFilter ref="A1:M31"/>
  <tableColumns count="13">
    <tableColumn id="1" name="ItemID" dataDxfId="38"/>
    <tableColumn id="2" name="Component" dataDxfId="37"/>
    <tableColumn id="3" name="Supply Item" dataDxfId="36"/>
    <tableColumn id="4" name="Supply Component" dataDxfId="24">
      <calculatedColumnFormula>IF(OR(ISBLANK(Items[[#This Row],[Supply Item]]), Items[[#This Row],[Supply Item]]="", Items[[#This Row],[Supply Item]]=0), "", VLOOKUP(Items[[#This Row],[Supply Item]], Analysis[], COLUMN(Items[Component])-COLUMN(Items[])+1, FALSE))</calculatedColumnFormula>
    </tableColumn>
    <tableColumn id="5" name="Name" dataDxfId="33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name="Manufacturer" dataDxfId="32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name="Source" dataDxfId="31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name="Price" dataDxfId="30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name="Peak Consumption (W)" dataDxfId="29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name="Constant Consumption (W)" dataDxfId="28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name="Output (V)" dataDxfId="27">
      <calculatedColumnFormula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calculatedColumnFormula>
    </tableColumn>
    <tableColumn id="12" name="Output (A)" dataDxfId="26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name="Battery (mAh)" dataDxfId="25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Analysis" displayName="Analysis" ref="A1:N30" totalsRowShown="0">
  <autoFilter ref="A1:N30"/>
  <tableColumns count="14">
    <tableColumn id="1" name="ItemID" dataDxfId="9">
      <calculatedColumnFormula>IF(IFERROR(Items[[#This Row],[ItemID]], 0)=0, "", Items[[#This Row],[ItemID]])</calculatedColumnFormula>
    </tableColumn>
    <tableColumn id="5" name="Supply Item" dataDxfId="8"/>
    <tableColumn id="11" name="Input (V)" dataDxfId="23">
      <calculatedColumnFormula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calculatedColumnFormula>
    </tableColumn>
    <tableColumn id="8" name="Output (V)" dataDxfId="22">
      <calculatedColumnFormula>IF(OR(ISBLANK(Analysis[[#This Row],[ItemID]]), Analysis[[#This Row],[ItemID]]=""), "", VLOOKUP(Analysis[[#This Row],[ItemID]], Items[], COLUMN(Items[Output (V)])-COLUMN(Items[])+1, FALSE))</calculatedColumnFormula>
    </tableColumn>
    <tableColumn id="9" name="Peak Input (A)" dataDxfId="21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7" name="Peak Output (A)" dataDxfId="18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6" name="Constant Input (A)" dataDxfId="49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17" name="Constant Output (A)" dataDxfId="17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3" name="Self Peak Consumption (W)" dataDxfId="20">
      <calculatedColumnFormula>IF(OR(ISBLANK(Analysis[[#This Row],[ItemID]]), Analysis[[#This Row],[ItemID]]=""), "", VLOOKUP(Analysis[[#This Row],[ItemID]], Items[], COLUMN(Items[Peak Consumption (W)])-COLUMN(Items[])+1, FALSE))</calculatedColumnFormula>
    </tableColumn>
    <tableColumn id="4" name="Children Peak Consumption (W)" dataDxfId="48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name="Total Peak Consumption (W)" dataDxfId="47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name="Self Constant Consumption (W)" dataDxfId="19">
      <calculatedColumnFormula>IF(OR(ISBLANK(Analysis[[#This Row],[ItemID]]), Analysis[[#This Row],[ItemID]]=""), "", VLOOKUP(Analysis[[#This Row],[ItemID]], Items[], COLUMN(Items[Constant Consumption (W)])-COLUMN(Items[])+1, FALSE))</calculatedColumnFormula>
    </tableColumn>
    <tableColumn id="14" name="Children Constant Consumption (W)" dataDxfId="46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name="Total Constant Consumption (W)" dataDxfId="45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Results" displayName="Results" ref="A1:H30" totalsRowShown="0">
  <autoFilter ref="A1:H30"/>
  <tableColumns count="8">
    <tableColumn id="1" name="ItemID" dataDxfId="44">
      <calculatedColumnFormula>IF(IFERROR(Analysis[[#This Row],[ItemID]], 0)=0, "", Analysis[[#This Row],[ItemID]])</calculatedColumnFormula>
    </tableColumn>
    <tableColumn id="4" name="Current Capacity" dataDxfId="16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name="Peak Current Used" dataDxfId="15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name="Constant Current Used" dataDxfId="14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name="Peak % Capacity" dataDxfId="13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name="Constant % Capacity" dataDxfId="12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name="Battery (mAh)" dataDxfId="10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name="Battery Life (hrs)" dataDxfId="11">
      <calculatedColumnFormula>IF(OR(ISBLANK(Results[[#This Row],[ItemID]]), Results[[#This Row],[Constant Current Used]]="", Results[[#This Row],[Battery (mAh)]]=""), "", Results[[#This Row],[Battery (mAh)]]/Results[[#This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RailSummary" displayName="RailSummary" ref="O1:R8" totalsRowShown="0">
  <autoFilter ref="O1:R8"/>
  <tableColumns count="4">
    <tableColumn id="1" name="Power Rail" dataDxfId="43"/>
    <tableColumn id="2" name="Voltage (V)" dataDxfId="42">
      <calculatedColumnFormula>IF(ISBLANK(RailSummary[[#This Row],[Power Rail]]), "", VLOOKUP(RailSummary[[#This Row],[Power Rail]], Analysis[], COLUMN(Analysis[Output (V)])-COLUMN(Analysis[])+1, FALSE))</calculatedColumnFormula>
    </tableColumn>
    <tableColumn id="3" name="Current (W)" dataDxfId="41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name="Power (W)" dataDxfId="40">
      <calculatedColumnFormula>IF(ISBLANK(RailSummary[[#This Row],[Power Rail]]), "", RailSummary[[#This Row],[Voltage (V)]]*RailSummary[[#This Row],[Current (W)]])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Costs" displayName="Costs" ref="A1:C30" totalsRowShown="0">
  <autoFilter ref="A1:C30"/>
  <tableColumns count="3">
    <tableColumn id="1" name="Item" dataDxfId="39">
      <calculatedColumnFormula>IF(OR(ISBLANK(Analysis[[#This Row],[ItemID]]), Analysis[[#This Row],[ItemID]]="", Analysis[[#This Row],[ItemID]]=0), "", Analysis[[#This Row],[ItemID]])</calculatedColumnFormula>
    </tableColumn>
    <tableColumn id="2" name="Component Name" dataDxfId="3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name="Cost" dataDxfId="4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4.42578125" bestFit="1" customWidth="1"/>
    <col min="5" max="5" width="7.7109375" bestFit="1" customWidth="1"/>
    <col min="6" max="6" width="19.140625" bestFit="1" customWidth="1"/>
    <col min="7" max="7" width="27.85546875" bestFit="1" customWidth="1"/>
    <col min="8" max="9" width="12.7109375" bestFit="1" customWidth="1"/>
    <col min="10" max="10" width="15.7109375" bestFit="1" customWidth="1"/>
  </cols>
  <sheetData>
    <row r="1" spans="1:10" x14ac:dyDescent="0.25">
      <c r="A1" t="s">
        <v>5</v>
      </c>
      <c r="B1" t="s">
        <v>0</v>
      </c>
      <c r="C1" t="s">
        <v>2</v>
      </c>
      <c r="D1" t="s">
        <v>3</v>
      </c>
      <c r="E1" t="s">
        <v>4</v>
      </c>
      <c r="F1" t="s">
        <v>74</v>
      </c>
      <c r="G1" t="s">
        <v>75</v>
      </c>
      <c r="H1" t="s">
        <v>12</v>
      </c>
      <c r="I1" t="s">
        <v>13</v>
      </c>
      <c r="J1" t="s">
        <v>37</v>
      </c>
    </row>
    <row r="2" spans="1:10" x14ac:dyDescent="0.25">
      <c r="A2" s="2" t="s">
        <v>10</v>
      </c>
      <c r="B2" s="2"/>
      <c r="C2" s="2"/>
      <c r="D2" s="7"/>
      <c r="E2" s="3"/>
      <c r="F2" s="13">
        <v>0</v>
      </c>
      <c r="G2" s="13">
        <v>0</v>
      </c>
      <c r="H2" s="13">
        <v>24</v>
      </c>
      <c r="I2" s="13">
        <v>400</v>
      </c>
      <c r="J2" s="13">
        <v>1000</v>
      </c>
    </row>
    <row r="3" spans="1:10" x14ac:dyDescent="0.25">
      <c r="A3" s="2" t="s">
        <v>93</v>
      </c>
      <c r="B3" s="2" t="s">
        <v>94</v>
      </c>
      <c r="C3" s="2"/>
      <c r="D3" s="7"/>
      <c r="E3" s="3"/>
      <c r="F3" s="13">
        <v>0</v>
      </c>
      <c r="G3" s="13">
        <v>0</v>
      </c>
      <c r="H3" s="13"/>
      <c r="I3" s="13">
        <v>550</v>
      </c>
      <c r="J3" s="13"/>
    </row>
    <row r="4" spans="1:10" x14ac:dyDescent="0.25">
      <c r="A4" s="2" t="s">
        <v>44</v>
      </c>
      <c r="B4" s="2" t="s">
        <v>46</v>
      </c>
      <c r="C4" s="2" t="s">
        <v>47</v>
      </c>
      <c r="D4" s="7" t="s">
        <v>47</v>
      </c>
      <c r="E4" s="3" t="s">
        <v>48</v>
      </c>
      <c r="F4" s="13">
        <v>2.5</v>
      </c>
      <c r="G4" s="13">
        <v>2.5</v>
      </c>
      <c r="H4" s="13">
        <v>24</v>
      </c>
      <c r="I4" s="13">
        <v>1</v>
      </c>
      <c r="J4" s="13"/>
    </row>
    <row r="5" spans="1:10" x14ac:dyDescent="0.25">
      <c r="A5" s="2" t="s">
        <v>33</v>
      </c>
      <c r="B5" s="2" t="s">
        <v>34</v>
      </c>
      <c r="C5" s="2"/>
      <c r="D5" s="7"/>
      <c r="E5" s="3">
        <v>30</v>
      </c>
      <c r="F5" s="13">
        <v>7</v>
      </c>
      <c r="G5" s="13">
        <v>7</v>
      </c>
      <c r="H5" s="13">
        <v>3.3</v>
      </c>
      <c r="I5" s="13">
        <v>0.5</v>
      </c>
      <c r="J5" s="13"/>
    </row>
    <row r="6" spans="1:10" ht="30" x14ac:dyDescent="0.25">
      <c r="A6" s="2" t="s">
        <v>49</v>
      </c>
      <c r="B6" s="2" t="s">
        <v>59</v>
      </c>
      <c r="C6" s="2" t="s">
        <v>42</v>
      </c>
      <c r="D6" s="7" t="s">
        <v>43</v>
      </c>
      <c r="E6" s="3">
        <v>180</v>
      </c>
      <c r="F6" s="13">
        <v>0.5</v>
      </c>
      <c r="G6" s="13">
        <v>0.5</v>
      </c>
      <c r="H6" s="13">
        <v>24</v>
      </c>
      <c r="I6" s="13">
        <v>1</v>
      </c>
      <c r="J6" s="13"/>
    </row>
    <row r="7" spans="1:10" ht="30" x14ac:dyDescent="0.25">
      <c r="A7" s="2" t="s">
        <v>52</v>
      </c>
      <c r="B7" s="2" t="s">
        <v>51</v>
      </c>
      <c r="C7" s="2" t="s">
        <v>42</v>
      </c>
      <c r="D7" s="7" t="s">
        <v>53</v>
      </c>
      <c r="E7" s="3">
        <v>150</v>
      </c>
      <c r="F7" s="13">
        <v>7.5</v>
      </c>
      <c r="G7" s="13">
        <v>7.5</v>
      </c>
      <c r="H7" s="13"/>
      <c r="I7" s="13"/>
      <c r="J7" s="13"/>
    </row>
    <row r="8" spans="1:10" x14ac:dyDescent="0.25">
      <c r="A8" s="2" t="s">
        <v>9</v>
      </c>
      <c r="B8" s="2" t="s">
        <v>6</v>
      </c>
      <c r="C8" s="2" t="s">
        <v>7</v>
      </c>
      <c r="D8" s="7" t="s">
        <v>8</v>
      </c>
      <c r="E8" s="3">
        <v>60</v>
      </c>
      <c r="F8" s="13">
        <v>0</v>
      </c>
      <c r="G8" s="13">
        <v>0</v>
      </c>
      <c r="H8" s="13">
        <v>12</v>
      </c>
      <c r="I8" s="13">
        <v>60</v>
      </c>
      <c r="J8" s="13"/>
    </row>
    <row r="9" spans="1:10" x14ac:dyDescent="0.25">
      <c r="A9" s="2" t="s">
        <v>58</v>
      </c>
      <c r="B9" s="2" t="s">
        <v>15</v>
      </c>
      <c r="C9" s="2" t="s">
        <v>16</v>
      </c>
      <c r="D9" s="7" t="s">
        <v>17</v>
      </c>
      <c r="E9" s="3">
        <v>7.25</v>
      </c>
      <c r="F9" s="18">
        <v>1020</v>
      </c>
      <c r="G9" s="17">
        <v>700</v>
      </c>
      <c r="H9" s="13"/>
      <c r="I9" s="13"/>
      <c r="J9" s="13"/>
    </row>
    <row r="10" spans="1:10" ht="30" x14ac:dyDescent="0.25">
      <c r="A10" s="2" t="s">
        <v>63</v>
      </c>
      <c r="B10" s="2" t="s">
        <v>61</v>
      </c>
      <c r="C10" s="2"/>
      <c r="D10" s="7" t="s">
        <v>60</v>
      </c>
      <c r="E10" s="3">
        <v>60</v>
      </c>
      <c r="F10" s="13">
        <v>240</v>
      </c>
      <c r="G10" s="13">
        <v>240</v>
      </c>
      <c r="H10" s="13"/>
      <c r="I10" s="13"/>
      <c r="J10" s="13"/>
    </row>
    <row r="11" spans="1:10" ht="30" x14ac:dyDescent="0.25">
      <c r="A11" s="2" t="s">
        <v>64</v>
      </c>
      <c r="B11" s="2" t="s">
        <v>66</v>
      </c>
      <c r="C11" s="2"/>
      <c r="D11" s="7" t="s">
        <v>65</v>
      </c>
      <c r="E11" s="3">
        <v>50</v>
      </c>
      <c r="F11" s="13">
        <v>58.8</v>
      </c>
      <c r="G11" s="13">
        <v>58.8</v>
      </c>
      <c r="H11" s="13"/>
      <c r="I11" s="13"/>
      <c r="J11" s="13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K5" sqref="K5"/>
    </sheetView>
  </sheetViews>
  <sheetFormatPr defaultRowHeight="15" x14ac:dyDescent="0.25"/>
  <cols>
    <col min="1" max="1" width="19.7109375" style="16" bestFit="1" customWidth="1"/>
    <col min="2" max="2" width="13.7109375" style="16" bestFit="1" customWidth="1"/>
    <col min="3" max="3" width="13.85546875" style="16" bestFit="1" customWidth="1"/>
    <col min="4" max="4" width="20.42578125" style="16" bestFit="1" customWidth="1"/>
    <col min="5" max="5" width="34.140625" style="16" customWidth="1"/>
    <col min="6" max="6" width="55" style="16" customWidth="1"/>
    <col min="7" max="7" width="32.5703125" style="16" customWidth="1"/>
    <col min="8" max="8" width="24.5703125" style="16" customWidth="1"/>
    <col min="9" max="9" width="24.140625" style="16" bestFit="1" customWidth="1"/>
    <col min="10" max="10" width="27.85546875" style="16" bestFit="1" customWidth="1"/>
    <col min="11" max="12" width="12.7109375" style="16" bestFit="1" customWidth="1"/>
    <col min="13" max="13" width="15.85546875" style="16" bestFit="1" customWidth="1"/>
    <col min="14" max="16384" width="9.140625" style="16"/>
  </cols>
  <sheetData>
    <row r="1" spans="1:13" x14ac:dyDescent="0.25">
      <c r="A1" s="16" t="s">
        <v>11</v>
      </c>
      <c r="B1" s="16" t="s">
        <v>1</v>
      </c>
      <c r="C1" s="16" t="s">
        <v>38</v>
      </c>
      <c r="D1" s="16" t="s">
        <v>30</v>
      </c>
      <c r="E1" s="24" t="s">
        <v>0</v>
      </c>
      <c r="F1" s="16" t="s">
        <v>2</v>
      </c>
      <c r="G1" s="16" t="s">
        <v>3</v>
      </c>
      <c r="H1" s="16" t="s">
        <v>4</v>
      </c>
      <c r="I1" s="16" t="s">
        <v>74</v>
      </c>
      <c r="J1" s="16" t="s">
        <v>75</v>
      </c>
      <c r="K1" s="16" t="s">
        <v>12</v>
      </c>
      <c r="L1" s="16" t="s">
        <v>13</v>
      </c>
      <c r="M1" s="16" t="s">
        <v>37</v>
      </c>
    </row>
    <row r="2" spans="1:13" x14ac:dyDescent="0.25">
      <c r="A2" s="22"/>
      <c r="D2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20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21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21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3" spans="1:13" x14ac:dyDescent="0.25">
      <c r="A3" s="16" t="s">
        <v>14</v>
      </c>
      <c r="B3" s="16" t="s">
        <v>10</v>
      </c>
      <c r="D3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" s="20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21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3" s="21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400</v>
      </c>
      <c r="M3" s="21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1000</v>
      </c>
    </row>
    <row r="4" spans="1:13" x14ac:dyDescent="0.25">
      <c r="A4" s="16" t="s">
        <v>32</v>
      </c>
      <c r="B4" s="16" t="s">
        <v>93</v>
      </c>
      <c r="C4" s="16" t="s">
        <v>40</v>
      </c>
      <c r="D4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4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Linear Voltage Regulator</v>
      </c>
      <c r="F4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4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4" s="20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4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4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4" s="21">
        <v>5</v>
      </c>
      <c r="L4" s="21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550</v>
      </c>
      <c r="M4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5" spans="1:13" x14ac:dyDescent="0.25">
      <c r="A5" s="16" t="s">
        <v>35</v>
      </c>
      <c r="B5" s="16" t="s">
        <v>33</v>
      </c>
      <c r="C5" s="16" t="s">
        <v>32</v>
      </c>
      <c r="D5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5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Raspberry Pi 3 Rev 1.2</v>
      </c>
      <c r="F5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5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5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30</v>
      </c>
      <c r="I5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</v>
      </c>
      <c r="J5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</v>
      </c>
      <c r="K5" s="21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3.3</v>
      </c>
      <c r="L5" s="21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0.5</v>
      </c>
      <c r="M5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6" spans="1:13" x14ac:dyDescent="0.25">
      <c r="A6" s="16" t="s">
        <v>50</v>
      </c>
      <c r="B6" s="16" t="s">
        <v>44</v>
      </c>
      <c r="C6" s="16" t="s">
        <v>14</v>
      </c>
      <c r="D6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6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Homemade POE injection</v>
      </c>
      <c r="F6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Gabe</v>
      </c>
      <c r="G6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Gabe</v>
      </c>
      <c r="H6" s="20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?</v>
      </c>
      <c r="I6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2.5</v>
      </c>
      <c r="J6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2.5</v>
      </c>
      <c r="K6" s="21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6" s="21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6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7" spans="1:13" x14ac:dyDescent="0.25">
      <c r="A7" s="16" t="s">
        <v>45</v>
      </c>
      <c r="B7" s="16" t="s">
        <v>49</v>
      </c>
      <c r="C7" s="16" t="s">
        <v>50</v>
      </c>
      <c r="D7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7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M3</v>
      </c>
      <c r="F7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7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7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7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0.5</v>
      </c>
      <c r="J7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0.5</v>
      </c>
      <c r="K7" s="21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24</v>
      </c>
      <c r="L7" s="21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</v>
      </c>
      <c r="M7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8" spans="1:13" x14ac:dyDescent="0.25">
      <c r="A8" s="16" t="s">
        <v>41</v>
      </c>
      <c r="B8" s="16" t="s">
        <v>52</v>
      </c>
      <c r="C8" s="16" t="s">
        <v>45</v>
      </c>
      <c r="D8" s="16" t="str">
        <f>IF(OR(ISBLANK(Items[[#This Row],[Supply Item]]), Items[[#This Row],[Supply Item]]="", Items[[#This Row],[Supply Item]]=0), "", VLOOKUP(Items[[#This Row],[Supply Item]], Analysis[], COLUMN(Items[Component])-COLUMN(Items[])+1, FALSE))</f>
        <v>Comms Power</v>
      </c>
      <c r="E8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AMO-3G12 - Ubiquiti Antenna 3.4-3.7 GHz 12dBi Omni-directional</v>
      </c>
      <c r="F8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8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http://www.balticnetworks.com/ubiquiti-airmax-omni-3-4-3-7-ghz-12dbi-omni-directional-antenna.html</v>
      </c>
      <c r="H8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150</v>
      </c>
      <c r="I8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7.5</v>
      </c>
      <c r="J8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7.5</v>
      </c>
      <c r="K8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8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8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9" spans="1:13" x14ac:dyDescent="0.25">
      <c r="A9" s="16" t="s">
        <v>40</v>
      </c>
      <c r="B9" s="16" t="s">
        <v>93</v>
      </c>
      <c r="C9" s="16" t="s">
        <v>14</v>
      </c>
      <c r="D9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9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Linear Voltage Regulator</v>
      </c>
      <c r="F9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9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9" s="20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9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9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9" s="21">
        <v>12</v>
      </c>
      <c r="L9" s="21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550</v>
      </c>
      <c r="M9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10" spans="1:13" x14ac:dyDescent="0.25">
      <c r="A10" s="16" t="s">
        <v>18</v>
      </c>
      <c r="B10" s="16" t="s">
        <v>9</v>
      </c>
      <c r="C10" s="16" t="s">
        <v>40</v>
      </c>
      <c r="D10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0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0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0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0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0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21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0" s="21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0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11" spans="1:13" x14ac:dyDescent="0.25">
      <c r="A11" s="16" t="s">
        <v>24</v>
      </c>
      <c r="B11" s="16" t="s">
        <v>58</v>
      </c>
      <c r="C11" s="16" t="s">
        <v>18</v>
      </c>
      <c r="D11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1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1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1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1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1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1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700</v>
      </c>
      <c r="K11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1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1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12" spans="1:13" x14ac:dyDescent="0.25">
      <c r="A12" s="16" t="s">
        <v>19</v>
      </c>
      <c r="B12" s="16" t="s">
        <v>9</v>
      </c>
      <c r="C12" s="16" t="s">
        <v>40</v>
      </c>
      <c r="D12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2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2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2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2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2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2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2" s="21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2" s="21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2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13" spans="1:13" x14ac:dyDescent="0.25">
      <c r="A13" s="16" t="s">
        <v>29</v>
      </c>
      <c r="B13" s="16" t="s">
        <v>58</v>
      </c>
      <c r="C13" s="16" t="s">
        <v>19</v>
      </c>
      <c r="D13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3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3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3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3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3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3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700</v>
      </c>
      <c r="K13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3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3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14" spans="1:13" x14ac:dyDescent="0.25">
      <c r="A14" s="16" t="s">
        <v>20</v>
      </c>
      <c r="B14" s="16" t="s">
        <v>9</v>
      </c>
      <c r="C14" s="16" t="s">
        <v>40</v>
      </c>
      <c r="D14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4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4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4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4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4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4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4" s="21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4" s="21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4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15" spans="1:13" x14ac:dyDescent="0.25">
      <c r="A15" s="16" t="s">
        <v>25</v>
      </c>
      <c r="B15" s="16" t="s">
        <v>58</v>
      </c>
      <c r="C15" s="16" t="s">
        <v>20</v>
      </c>
      <c r="D15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5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5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5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5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5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5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700</v>
      </c>
      <c r="K15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5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5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16" spans="1:13" x14ac:dyDescent="0.25">
      <c r="A16" s="16" t="s">
        <v>21</v>
      </c>
      <c r="B16" s="16" t="s">
        <v>9</v>
      </c>
      <c r="C16" s="16" t="s">
        <v>40</v>
      </c>
      <c r="D16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6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6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6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6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6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6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6" s="21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6" s="21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6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17" spans="1:13" x14ac:dyDescent="0.25">
      <c r="A17" s="16" t="s">
        <v>26</v>
      </c>
      <c r="B17" s="16" t="s">
        <v>58</v>
      </c>
      <c r="C17" s="16" t="s">
        <v>21</v>
      </c>
      <c r="D17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7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7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7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7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7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7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700</v>
      </c>
      <c r="K17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7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7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18" spans="1:13" x14ac:dyDescent="0.25">
      <c r="A18" s="16" t="s">
        <v>22</v>
      </c>
      <c r="B18" s="16" t="s">
        <v>9</v>
      </c>
      <c r="C18" s="16" t="s">
        <v>40</v>
      </c>
      <c r="D18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18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18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18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18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18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8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8" s="21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18" s="21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8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19" spans="1:13" x14ac:dyDescent="0.25">
      <c r="A19" s="16" t="s">
        <v>27</v>
      </c>
      <c r="B19" s="16" t="s">
        <v>58</v>
      </c>
      <c r="C19" s="16" t="s">
        <v>22</v>
      </c>
      <c r="D19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19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9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9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9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9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19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700</v>
      </c>
      <c r="K19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19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19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20" spans="1:13" x14ac:dyDescent="0.25">
      <c r="A20" s="16" t="s">
        <v>23</v>
      </c>
      <c r="B20" s="16" t="s">
        <v>9</v>
      </c>
      <c r="C20" s="16" t="s">
        <v>40</v>
      </c>
      <c r="D20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0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Victor SP DC Motor Driver</v>
      </c>
      <c r="F20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VEX PRO</v>
      </c>
      <c r="G20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https://www.vexrobotics.com/217-9090.html</v>
      </c>
      <c r="H20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0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0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0" s="21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>12</v>
      </c>
      <c r="L20" s="21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0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21" spans="1:13" x14ac:dyDescent="0.25">
      <c r="A21" s="16" t="s">
        <v>28</v>
      </c>
      <c r="B21" s="16" t="s">
        <v>58</v>
      </c>
      <c r="C21" s="16" t="s">
        <v>23</v>
      </c>
      <c r="D21" s="16" t="str">
        <f>IF(OR(ISBLANK(Items[[#This Row],[Supply Item]]), Items[[#This Row],[Supply Item]]="", Items[[#This Row],[Supply Item]]=0), "", VLOOKUP(Items[[#This Row],[Supply Item]], Analysis[], COLUMN(Items[Component])-COLUMN(Items[])+1, FALSE))</f>
        <v>Dirty Power</v>
      </c>
      <c r="E21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1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1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1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1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1020</v>
      </c>
      <c r="J21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700</v>
      </c>
      <c r="K21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1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1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22" spans="1:13" x14ac:dyDescent="0.25">
      <c r="A22" s="16" t="s">
        <v>62</v>
      </c>
      <c r="B22" s="16" t="s">
        <v>63</v>
      </c>
      <c r="C22" s="16" t="s">
        <v>40</v>
      </c>
      <c r="D22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2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12 RPM HD Premium Planetary Gear Motor w/Encoder</v>
      </c>
      <c r="F22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2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https://www.servocity.com/12-rpm-hd-premium-planetary-gear-motor-w-encoder</v>
      </c>
      <c r="H22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22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240</v>
      </c>
      <c r="J22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240</v>
      </c>
      <c r="K22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2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2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23" spans="1:13" x14ac:dyDescent="0.25">
      <c r="A23" s="16" t="s">
        <v>67</v>
      </c>
      <c r="B23" s="16" t="s">
        <v>64</v>
      </c>
      <c r="C23" s="16" t="s">
        <v>40</v>
      </c>
      <c r="D23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3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3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3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3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3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58.8</v>
      </c>
      <c r="J23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58.8</v>
      </c>
      <c r="K23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3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3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24" spans="1:13" x14ac:dyDescent="0.25">
      <c r="A24" s="16" t="s">
        <v>68</v>
      </c>
      <c r="B24" s="16" t="s">
        <v>64</v>
      </c>
      <c r="C24" s="16" t="s">
        <v>40</v>
      </c>
      <c r="D24" s="16" t="str">
        <f>IF(OR(ISBLANK(Items[[#This Row],[Supply Item]]), Items[[#This Row],[Supply Item]]="", Items[[#This Row],[Supply Item]]=0), "", VLOOKUP(Items[[#This Row],[Supply Item]], Analysis[], COLUMN(Items[Component])-COLUMN(Items[])+1, FALSE))</f>
        <v>Battery Pack</v>
      </c>
      <c r="E24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26 RPM Premium Planetary Gear Motor w/Encoder</v>
      </c>
      <c r="F24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4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https://www.servocity.com/26-rpm-premium-planetary-gear-motor-w-encoder</v>
      </c>
      <c r="H24" s="20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50</v>
      </c>
      <c r="I24" s="21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58.8</v>
      </c>
      <c r="J24" s="21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58.8</v>
      </c>
      <c r="K24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4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4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25" spans="1:13" x14ac:dyDescent="0.25">
      <c r="D25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5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5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5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5" s="20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5" s="21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5" s="21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5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5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5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26" spans="1:13" x14ac:dyDescent="0.25">
      <c r="D26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6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6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6" s="20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6" s="21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6" s="21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6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6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6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27" spans="1:13" x14ac:dyDescent="0.25">
      <c r="D27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7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7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7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7" s="20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7" s="21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7" s="21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7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7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7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28" spans="1:13" x14ac:dyDescent="0.25">
      <c r="D28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8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8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8" s="20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8" s="21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8" s="21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8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8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8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29" spans="1:13" x14ac:dyDescent="0.25">
      <c r="D29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29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9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20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9" s="21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9" s="21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9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29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9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30" spans="1:13" x14ac:dyDescent="0.25">
      <c r="D30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0" s="2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0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20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0" s="21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0" s="21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0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0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0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  <row r="31" spans="1:13" x14ac:dyDescent="0.25">
      <c r="D31" s="16" t="str">
        <f>IF(OR(ISBLANK(Items[[#This Row],[Supply Item]]), Items[[#This Row],[Supply Item]]="", Items[[#This Row],[Supply Item]]=0), "", VLOOKUP(Items[[#This Row],[Supply Item]], Analysis[], COLUMN(Items[Component])-COLUMN(Items[])+1, FALSE))</f>
        <v/>
      </c>
      <c r="E31" s="19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1" s="19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9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20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1" s="21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1" s="21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1" s="21" t="str">
        <f>IF(OR(ISBLANK(Items[[#This Row],[Component]]), Items[[#This Row],[Component]]="", Items[[#This Row],[Component]]=0), "", IF(ISBLANK(VLOOKUP(Items[[#This Row],[Component]], ComponentData[], COLUMN(ComponentData[Output (V)])-COLUMN(ComponentData[])+1, FALSE)), "", VLOOKUP(Items[[#This Row],[Component]], ComponentData[], COLUMN(ComponentData[Output (V)])-COLUMN(ComponentData[])+1, FALSE)))</f>
        <v/>
      </c>
      <c r="L31" s="21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1" s="21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</row>
  </sheetData>
  <dataValidations count="1">
    <dataValidation type="list" allowBlank="1" showInputMessage="1" showErrorMessage="1" sqref="B2:B31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6" sqref="F26"/>
    </sheetView>
  </sheetViews>
  <sheetFormatPr defaultRowHeight="15" x14ac:dyDescent="0.25"/>
  <cols>
    <col min="1" max="1" width="19.7109375" bestFit="1" customWidth="1"/>
    <col min="2" max="2" width="14" bestFit="1" customWidth="1"/>
    <col min="3" max="3" width="11.140625" bestFit="1" customWidth="1"/>
    <col min="4" max="4" width="12.7109375" bestFit="1" customWidth="1"/>
    <col min="5" max="5" width="16" bestFit="1" customWidth="1"/>
    <col min="6" max="6" width="17.5703125" bestFit="1" customWidth="1"/>
    <col min="7" max="7" width="19.7109375" bestFit="1" customWidth="1"/>
    <col min="8" max="8" width="21.28515625" bestFit="1" customWidth="1"/>
    <col min="9" max="9" width="28.140625" bestFit="1" customWidth="1"/>
    <col min="10" max="10" width="32.42578125" bestFit="1" customWidth="1"/>
    <col min="11" max="11" width="29.140625" bestFit="1" customWidth="1"/>
    <col min="12" max="12" width="31.7109375" bestFit="1" customWidth="1"/>
    <col min="13" max="13" width="36.140625" bestFit="1" customWidth="1"/>
    <col min="14" max="14" width="32.85546875" bestFit="1" customWidth="1"/>
    <col min="15" max="15" width="36.140625" bestFit="1" customWidth="1"/>
    <col min="16" max="16" width="32.85546875" bestFit="1" customWidth="1"/>
  </cols>
  <sheetData>
    <row r="1" spans="1:14" x14ac:dyDescent="0.25">
      <c r="A1" s="10" t="s">
        <v>11</v>
      </c>
      <c r="B1" s="11" t="s">
        <v>38</v>
      </c>
      <c r="C1" t="s">
        <v>73</v>
      </c>
      <c r="D1" t="s">
        <v>12</v>
      </c>
      <c r="E1" t="s">
        <v>82</v>
      </c>
      <c r="F1" t="s">
        <v>83</v>
      </c>
      <c r="G1" t="s">
        <v>84</v>
      </c>
      <c r="H1" t="s">
        <v>85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</row>
    <row r="2" spans="1:14" x14ac:dyDescent="0.25">
      <c r="A2" s="23" t="str">
        <f>IF(IFERROR(Items[[#This Row],[ItemID]], 0)=0, "", Items[[#This Row],[ItemID]])</f>
        <v/>
      </c>
      <c r="B2" s="23"/>
      <c r="C2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" t="str">
        <f>IF(OR(ISBLANK(Analysis[[#This Row],[ItemID]]), Analysis[[#This Row],[ItemID]]=""), "", VLOOKUP(Analysis[[#This Row],[ItemID]], Items[], COLUMN(Items[Output (V)])-COLUMN(Items[])+1, FALSE))</f>
        <v/>
      </c>
      <c r="E2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F2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G2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H2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I2" s="12" t="str">
        <f>IF(OR(ISBLANK(Analysis[[#This Row],[ItemID]]), Analysis[[#This Row],[ItemID]]=""), "", VLOOKUP(Analysis[[#This Row],[ItemID]], Items[], COLUMN(Items[Peak Consumption (W)])-COLUMN(Items[])+1, FALSE))</f>
        <v/>
      </c>
      <c r="J2" s="12" t="str">
        <f>IF(OR(ISBLANK(Analysis[[#This Row],[ItemID]]), Analysis[[#This Row],[ItemID]]=""), "", SUMIFS(Analysis[Total Peak Consumption (W)], Analysis[Supply Item], Analysis[[#This Row],[ItemID]]))</f>
        <v/>
      </c>
      <c r="K2" s="12" t="str">
        <f>IF(OR(ISBLANK(Analysis[[#This Row],[ItemID]]), Analysis[[#This Row],[ItemID]]=""), "", Analysis[[#This Row],[Self Peak Consumption (W)]]+Analysis[[#This Row],[Children Peak Consumption (W)]])</f>
        <v/>
      </c>
      <c r="L2" s="12" t="str">
        <f>IF(OR(ISBLANK(Analysis[[#This Row],[ItemID]]), Analysis[[#This Row],[ItemID]]=""), "", VLOOKUP(Analysis[[#This Row],[ItemID]], Items[], COLUMN(Items[Constant Consumption (W)])-COLUMN(Items[])+1, FALSE))</f>
        <v/>
      </c>
      <c r="M2" s="12" t="str">
        <f>IF(OR(ISBLANK(Analysis[[#This Row],[ItemID]]), Analysis[[#This Row],[ItemID]]=""), "", SUMIFS(Analysis[Total Constant Consumption (W)], Analysis[Supply Item], Analysis[[#This Row],[ItemID]]))</f>
        <v/>
      </c>
      <c r="N2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4" x14ac:dyDescent="0.25">
      <c r="A3" s="23" t="str">
        <f>IF(IFERROR(Items[[#This Row],[ItemID]], 0)=0, "", Items[[#This Row],[ItemID]])</f>
        <v>Battery Pack</v>
      </c>
      <c r="B3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">
        <f>IF(OR(ISBLANK(Analysis[[#This Row],[ItemID]]), Analysis[[#This Row],[ItemID]]=""), "", VLOOKUP(Analysis[[#This Row],[ItemID]], Items[], COLUMN(Items[Output (V)])-COLUMN(Items[])+1, FALSE))</f>
        <v>24</v>
      </c>
      <c r="E3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F3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270.62916666666666</v>
      </c>
      <c r="G3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H3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190.62916666666669</v>
      </c>
      <c r="I3" s="12">
        <f>IF(OR(ISBLANK(Analysis[[#This Row],[ItemID]]), Analysis[[#This Row],[ItemID]]=""), "", VLOOKUP(Analysis[[#This Row],[ItemID]], Items[], COLUMN(Items[Peak Consumption (W)])-COLUMN(Items[])+1, FALSE))</f>
        <v>0</v>
      </c>
      <c r="J3" s="12">
        <f>IF(OR(ISBLANK(Analysis[[#This Row],[ItemID]]), Analysis[[#This Row],[ItemID]]=""), "", SUMIFS(Analysis[Total Peak Consumption (W)], Analysis[Supply Item], Analysis[[#This Row],[ItemID]]))</f>
        <v>6495.1</v>
      </c>
      <c r="K3" s="12">
        <f>IF(OR(ISBLANK(Analysis[[#This Row],[ItemID]]), Analysis[[#This Row],[ItemID]]=""), "", Analysis[[#This Row],[Self Peak Consumption (W)]]+Analysis[[#This Row],[Children Peak Consumption (W)]])</f>
        <v>6495.1</v>
      </c>
      <c r="L3" s="12">
        <f>IF(OR(ISBLANK(Analysis[[#This Row],[ItemID]]), Analysis[[#This Row],[ItemID]]=""), "", VLOOKUP(Analysis[[#This Row],[ItemID]], Items[], COLUMN(Items[Constant Consumption (W)])-COLUMN(Items[])+1, FALSE))</f>
        <v>0</v>
      </c>
      <c r="M3" s="12">
        <f>IF(OR(ISBLANK(Analysis[[#This Row],[ItemID]]), Analysis[[#This Row],[ItemID]]=""), "", SUMIFS(Analysis[Total Constant Consumption (W)], Analysis[Supply Item], Analysis[[#This Row],[ItemID]]))</f>
        <v>4575.1000000000004</v>
      </c>
      <c r="N3" s="12">
        <f>IF(OR(ISBLANK(Analysis[[#This Row],[ItemID]]), Analysis[[#This Row],[ItemID]]=""), "", Analysis[[#This Row],[Self Constant Consumption (W)]]+Analysis[[#This Row],[Children Constant Consumption (W)]])</f>
        <v>4575.1000000000004</v>
      </c>
    </row>
    <row r="4" spans="1:14" x14ac:dyDescent="0.25">
      <c r="A4" s="23" t="str">
        <f>IF(IFERROR(Items[[#This Row],[ItemID]], 0)=0, "", Items[[#This Row],[ItemID]])</f>
        <v>Logic Supply</v>
      </c>
      <c r="B4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4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4">
        <f>IF(OR(ISBLANK(Analysis[[#This Row],[ItemID]]), Analysis[[#This Row],[ItemID]]=""), "", VLOOKUP(Analysis[[#This Row],[ItemID]], Items[], COLUMN(Items[Output (V)])-COLUMN(Items[])+1, FALSE))</f>
        <v>5</v>
      </c>
      <c r="E4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0.58333333333333337</v>
      </c>
      <c r="F4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1.4</v>
      </c>
      <c r="G4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0.58333333333333337</v>
      </c>
      <c r="H4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1.4</v>
      </c>
      <c r="I4" s="12">
        <f>IF(OR(ISBLANK(Analysis[[#This Row],[ItemID]]), Analysis[[#This Row],[ItemID]]=""), "", VLOOKUP(Analysis[[#This Row],[ItemID]], Items[], COLUMN(Items[Peak Consumption (W)])-COLUMN(Items[])+1, FALSE))</f>
        <v>0</v>
      </c>
      <c r="J4" s="12">
        <f>IF(OR(ISBLANK(Analysis[[#This Row],[ItemID]]), Analysis[[#This Row],[ItemID]]=""), "", SUMIFS(Analysis[Total Peak Consumption (W)], Analysis[Supply Item], Analysis[[#This Row],[ItemID]]))</f>
        <v>7</v>
      </c>
      <c r="K4" s="12">
        <f>IF(OR(ISBLANK(Analysis[[#This Row],[ItemID]]), Analysis[[#This Row],[ItemID]]=""), "", Analysis[[#This Row],[Self Peak Consumption (W)]]+Analysis[[#This Row],[Children Peak Consumption (W)]])</f>
        <v>7</v>
      </c>
      <c r="L4" s="12">
        <f>IF(OR(ISBLANK(Analysis[[#This Row],[ItemID]]), Analysis[[#This Row],[ItemID]]=""), "", VLOOKUP(Analysis[[#This Row],[ItemID]], Items[], COLUMN(Items[Constant Consumption (W)])-COLUMN(Items[])+1, FALSE))</f>
        <v>0</v>
      </c>
      <c r="M4" s="12">
        <f>IF(OR(ISBLANK(Analysis[[#This Row],[ItemID]]), Analysis[[#This Row],[ItemID]]=""), "", SUMIFS(Analysis[Total Constant Consumption (W)], Analysis[Supply Item], Analysis[[#This Row],[ItemID]]))</f>
        <v>7</v>
      </c>
      <c r="N4" s="12">
        <f>IF(OR(ISBLANK(Analysis[[#This Row],[ItemID]]), Analysis[[#This Row],[ItemID]]=""), "", Analysis[[#This Row],[Self Constant Consumption (W)]]+Analysis[[#This Row],[Children Constant Consumption (W)]])</f>
        <v>7</v>
      </c>
    </row>
    <row r="5" spans="1:14" x14ac:dyDescent="0.25">
      <c r="A5" s="23" t="str">
        <f>IF(IFERROR(Items[[#This Row],[ItemID]], 0)=0, "", Items[[#This Row],[ItemID]])</f>
        <v>Master Control</v>
      </c>
      <c r="B5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Logic Supply</v>
      </c>
      <c r="C5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5</v>
      </c>
      <c r="D5">
        <f>IF(OR(ISBLANK(Analysis[[#This Row],[ItemID]]), Analysis[[#This Row],[ItemID]]=""), "", VLOOKUP(Analysis[[#This Row],[ItemID]], Items[], COLUMN(Items[Output (V)])-COLUMN(Items[])+1, FALSE))</f>
        <v>3.3</v>
      </c>
      <c r="E5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1.4</v>
      </c>
      <c r="F5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</v>
      </c>
      <c r="G5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1.4</v>
      </c>
      <c r="H5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</v>
      </c>
      <c r="I5" s="12">
        <f>IF(OR(ISBLANK(Analysis[[#This Row],[ItemID]]), Analysis[[#This Row],[ItemID]]=""), "", VLOOKUP(Analysis[[#This Row],[ItemID]], Items[], COLUMN(Items[Peak Consumption (W)])-COLUMN(Items[])+1, FALSE))</f>
        <v>7</v>
      </c>
      <c r="J5" s="12">
        <f>IF(OR(ISBLANK(Analysis[[#This Row],[ItemID]]), Analysis[[#This Row],[ItemID]]=""), "", SUMIFS(Analysis[Total Peak Consumption (W)], Analysis[Supply Item], Analysis[[#This Row],[ItemID]]))</f>
        <v>0</v>
      </c>
      <c r="K5" s="12">
        <f>IF(OR(ISBLANK(Analysis[[#This Row],[ItemID]]), Analysis[[#This Row],[ItemID]]=""), "", Analysis[[#This Row],[Self Peak Consumption (W)]]+Analysis[[#This Row],[Children Peak Consumption (W)]])</f>
        <v>7</v>
      </c>
      <c r="L5" s="12">
        <f>IF(OR(ISBLANK(Analysis[[#This Row],[ItemID]]), Analysis[[#This Row],[ItemID]]=""), "", VLOOKUP(Analysis[[#This Row],[ItemID]], Items[], COLUMN(Items[Constant Consumption (W)])-COLUMN(Items[])+1, FALSE))</f>
        <v>7</v>
      </c>
      <c r="M5" s="12">
        <f>IF(OR(ISBLANK(Analysis[[#This Row],[ItemID]]), Analysis[[#This Row],[ItemID]]=""), "", SUMIFS(Analysis[Total Constant Consumption (W)], Analysis[Supply Item], Analysis[[#This Row],[ItemID]]))</f>
        <v>0</v>
      </c>
      <c r="N5" s="12">
        <f>IF(OR(ISBLANK(Analysis[[#This Row],[ItemID]]), Analysis[[#This Row],[ItemID]]=""), "", Analysis[[#This Row],[Self Constant Consumption (W)]]+Analysis[[#This Row],[Children Constant Consumption (W)]])</f>
        <v>7</v>
      </c>
    </row>
    <row r="6" spans="1:14" x14ac:dyDescent="0.25">
      <c r="A6" s="23" t="str">
        <f>IF(IFERROR(Items[[#This Row],[ItemID]], 0)=0, "", Items[[#This Row],[ItemID]])</f>
        <v>Comms Power</v>
      </c>
      <c r="B6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6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6">
        <f>IF(OR(ISBLANK(Analysis[[#This Row],[ItemID]]), Analysis[[#This Row],[ItemID]]=""), "", VLOOKUP(Analysis[[#This Row],[ItemID]], Items[], COLUMN(Items[Output (V)])-COLUMN(Items[])+1, FALSE))</f>
        <v>24</v>
      </c>
      <c r="E6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0.4375</v>
      </c>
      <c r="F6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0.33333333333333331</v>
      </c>
      <c r="G6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0.4375</v>
      </c>
      <c r="H6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0.33333333333333331</v>
      </c>
      <c r="I6" s="12">
        <f>IF(OR(ISBLANK(Analysis[[#This Row],[ItemID]]), Analysis[[#This Row],[ItemID]]=""), "", VLOOKUP(Analysis[[#This Row],[ItemID]], Items[], COLUMN(Items[Peak Consumption (W)])-COLUMN(Items[])+1, FALSE))</f>
        <v>2.5</v>
      </c>
      <c r="J6" s="12">
        <f>IF(OR(ISBLANK(Analysis[[#This Row],[ItemID]]), Analysis[[#This Row],[ItemID]]=""), "", SUMIFS(Analysis[Total Peak Consumption (W)], Analysis[Supply Item], Analysis[[#This Row],[ItemID]]))</f>
        <v>8</v>
      </c>
      <c r="K6" s="12">
        <f>IF(OR(ISBLANK(Analysis[[#This Row],[ItemID]]), Analysis[[#This Row],[ItemID]]=""), "", Analysis[[#This Row],[Self Peak Consumption (W)]]+Analysis[[#This Row],[Children Peak Consumption (W)]])</f>
        <v>10.5</v>
      </c>
      <c r="L6" s="12">
        <f>IF(OR(ISBLANK(Analysis[[#This Row],[ItemID]]), Analysis[[#This Row],[ItemID]]=""), "", VLOOKUP(Analysis[[#This Row],[ItemID]], Items[], COLUMN(Items[Constant Consumption (W)])-COLUMN(Items[])+1, FALSE))</f>
        <v>2.5</v>
      </c>
      <c r="M6" s="12">
        <f>IF(OR(ISBLANK(Analysis[[#This Row],[ItemID]]), Analysis[[#This Row],[ItemID]]=""), "", SUMIFS(Analysis[Total Constant Consumption (W)], Analysis[Supply Item], Analysis[[#This Row],[ItemID]]))</f>
        <v>8</v>
      </c>
      <c r="N6" s="12">
        <f>IF(OR(ISBLANK(Analysis[[#This Row],[ItemID]]), Analysis[[#This Row],[ItemID]]=""), "", Analysis[[#This Row],[Self Constant Consumption (W)]]+Analysis[[#This Row],[Children Constant Consumption (W)]])</f>
        <v>10.5</v>
      </c>
    </row>
    <row r="7" spans="1:14" x14ac:dyDescent="0.25">
      <c r="A7" s="23" t="str">
        <f>IF(IFERROR(Items[[#This Row],[ItemID]], 0)=0, "", Items[[#This Row],[ItemID]])</f>
        <v>Transceiver</v>
      </c>
      <c r="B7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Comms Power</v>
      </c>
      <c r="C7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7">
        <f>IF(OR(ISBLANK(Analysis[[#This Row],[ItemID]]), Analysis[[#This Row],[ItemID]]=""), "", VLOOKUP(Analysis[[#This Row],[ItemID]], Items[], COLUMN(Items[Output (V)])-COLUMN(Items[])+1, FALSE))</f>
        <v>24</v>
      </c>
      <c r="E7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0.33333333333333331</v>
      </c>
      <c r="F7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0.3125</v>
      </c>
      <c r="G7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0.33333333333333331</v>
      </c>
      <c r="H7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0.3125</v>
      </c>
      <c r="I7" s="12">
        <f>IF(OR(ISBLANK(Analysis[[#This Row],[ItemID]]), Analysis[[#This Row],[ItemID]]=""), "", VLOOKUP(Analysis[[#This Row],[ItemID]], Items[], COLUMN(Items[Peak Consumption (W)])-COLUMN(Items[])+1, FALSE))</f>
        <v>0.5</v>
      </c>
      <c r="J7" s="12">
        <f>IF(OR(ISBLANK(Analysis[[#This Row],[ItemID]]), Analysis[[#This Row],[ItemID]]=""), "", SUMIFS(Analysis[Total Peak Consumption (W)], Analysis[Supply Item], Analysis[[#This Row],[ItemID]]))</f>
        <v>7.5</v>
      </c>
      <c r="K7" s="12">
        <f>IF(OR(ISBLANK(Analysis[[#This Row],[ItemID]]), Analysis[[#This Row],[ItemID]]=""), "", Analysis[[#This Row],[Self Peak Consumption (W)]]+Analysis[[#This Row],[Children Peak Consumption (W)]])</f>
        <v>8</v>
      </c>
      <c r="L7" s="12">
        <f>IF(OR(ISBLANK(Analysis[[#This Row],[ItemID]]), Analysis[[#This Row],[ItemID]]=""), "", VLOOKUP(Analysis[[#This Row],[ItemID]], Items[], COLUMN(Items[Constant Consumption (W)])-COLUMN(Items[])+1, FALSE))</f>
        <v>0.5</v>
      </c>
      <c r="M7" s="12">
        <f>IF(OR(ISBLANK(Analysis[[#This Row],[ItemID]]), Analysis[[#This Row],[ItemID]]=""), "", SUMIFS(Analysis[Total Constant Consumption (W)], Analysis[Supply Item], Analysis[[#This Row],[ItemID]]))</f>
        <v>7.5</v>
      </c>
      <c r="N7" s="12">
        <f>IF(OR(ISBLANK(Analysis[[#This Row],[ItemID]]), Analysis[[#This Row],[ItemID]]=""), "", Analysis[[#This Row],[Self Constant Consumption (W)]]+Analysis[[#This Row],[Children Constant Consumption (W)]])</f>
        <v>8</v>
      </c>
    </row>
    <row r="8" spans="1:14" x14ac:dyDescent="0.25">
      <c r="A8" s="23" t="str">
        <f>IF(IFERROR(Items[[#This Row],[ItemID]], 0)=0, "", Items[[#This Row],[ItemID]])</f>
        <v>Antenna</v>
      </c>
      <c r="B8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Transceiver</v>
      </c>
      <c r="C8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8" t="str">
        <f>IF(OR(ISBLANK(Analysis[[#This Row],[ItemID]]), Analysis[[#This Row],[ItemID]]=""), "", VLOOKUP(Analysis[[#This Row],[ItemID]], Items[], COLUMN(Items[Output (V)])-COLUMN(Items[])+1, FALSE))</f>
        <v/>
      </c>
      <c r="E8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0.3125</v>
      </c>
      <c r="F8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G8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0.3125</v>
      </c>
      <c r="H8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I8" s="12">
        <f>IF(OR(ISBLANK(Analysis[[#This Row],[ItemID]]), Analysis[[#This Row],[ItemID]]=""), "", VLOOKUP(Analysis[[#This Row],[ItemID]], Items[], COLUMN(Items[Peak Consumption (W)])-COLUMN(Items[])+1, FALSE))</f>
        <v>7.5</v>
      </c>
      <c r="J8" s="12">
        <f>IF(OR(ISBLANK(Analysis[[#This Row],[ItemID]]), Analysis[[#This Row],[ItemID]]=""), "", SUMIFS(Analysis[Total Peak Consumption (W)], Analysis[Supply Item], Analysis[[#This Row],[ItemID]]))</f>
        <v>0</v>
      </c>
      <c r="K8" s="12">
        <f>IF(OR(ISBLANK(Analysis[[#This Row],[ItemID]]), Analysis[[#This Row],[ItemID]]=""), "", Analysis[[#This Row],[Self Peak Consumption (W)]]+Analysis[[#This Row],[Children Peak Consumption (W)]])</f>
        <v>7.5</v>
      </c>
      <c r="L8" s="12">
        <f>IF(OR(ISBLANK(Analysis[[#This Row],[ItemID]]), Analysis[[#This Row],[ItemID]]=""), "", VLOOKUP(Analysis[[#This Row],[ItemID]], Items[], COLUMN(Items[Constant Consumption (W)])-COLUMN(Items[])+1, FALSE))</f>
        <v>7.5</v>
      </c>
      <c r="M8" s="12">
        <f>IF(OR(ISBLANK(Analysis[[#This Row],[ItemID]]), Analysis[[#This Row],[ItemID]]=""), "", SUMIFS(Analysis[Total Constant Consumption (W)], Analysis[Supply Item], Analysis[[#This Row],[ItemID]]))</f>
        <v>0</v>
      </c>
      <c r="N8" s="12">
        <f>IF(OR(ISBLANK(Analysis[[#This Row],[ItemID]]), Analysis[[#This Row],[ItemID]]=""), "", Analysis[[#This Row],[Self Constant Consumption (W)]]+Analysis[[#This Row],[Children Constant Consumption (W)]])</f>
        <v>7.5</v>
      </c>
    </row>
    <row r="9" spans="1:14" x14ac:dyDescent="0.25">
      <c r="A9" s="23" t="str">
        <f>IF(IFERROR(Items[[#This Row],[ItemID]], 0)=0, "", Items[[#This Row],[ItemID]])</f>
        <v>Dirty Power</v>
      </c>
      <c r="B9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Battery Pack</v>
      </c>
      <c r="C9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24</v>
      </c>
      <c r="D9">
        <f>IF(OR(ISBLANK(Analysis[[#This Row],[ItemID]]), Analysis[[#This Row],[ItemID]]=""), "", VLOOKUP(Analysis[[#This Row],[ItemID]], Items[], COLUMN(Items[Output (V)])-COLUMN(Items[])+1, FALSE))</f>
        <v>12</v>
      </c>
      <c r="E9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270.19166666666666</v>
      </c>
      <c r="F9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540.38333333333333</v>
      </c>
      <c r="G9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190.19166666666669</v>
      </c>
      <c r="H9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380.38333333333338</v>
      </c>
      <c r="I9" s="12">
        <f>IF(OR(ISBLANK(Analysis[[#This Row],[ItemID]]), Analysis[[#This Row],[ItemID]]=""), "", VLOOKUP(Analysis[[#This Row],[ItemID]], Items[], COLUMN(Items[Peak Consumption (W)])-COLUMN(Items[])+1, FALSE))</f>
        <v>0</v>
      </c>
      <c r="J9" s="12">
        <f>IF(OR(ISBLANK(Analysis[[#This Row],[ItemID]]), Analysis[[#This Row],[ItemID]]=""), "", SUMIFS(Analysis[Total Peak Consumption (W)], Analysis[Supply Item], Analysis[[#This Row],[ItemID]]))</f>
        <v>6484.6</v>
      </c>
      <c r="K9" s="12">
        <f>IF(OR(ISBLANK(Analysis[[#This Row],[ItemID]]), Analysis[[#This Row],[ItemID]]=""), "", Analysis[[#This Row],[Self Peak Consumption (W)]]+Analysis[[#This Row],[Children Peak Consumption (W)]])</f>
        <v>6484.6</v>
      </c>
      <c r="L9" s="12">
        <f>IF(OR(ISBLANK(Analysis[[#This Row],[ItemID]]), Analysis[[#This Row],[ItemID]]=""), "", VLOOKUP(Analysis[[#This Row],[ItemID]], Items[], COLUMN(Items[Constant Consumption (W)])-COLUMN(Items[])+1, FALSE))</f>
        <v>0</v>
      </c>
      <c r="M9" s="12">
        <f>IF(OR(ISBLANK(Analysis[[#This Row],[ItemID]]), Analysis[[#This Row],[ItemID]]=""), "", SUMIFS(Analysis[Total Constant Consumption (W)], Analysis[Supply Item], Analysis[[#This Row],[ItemID]]))</f>
        <v>4564.6000000000004</v>
      </c>
      <c r="N9" s="12">
        <f>IF(OR(ISBLANK(Analysis[[#This Row],[ItemID]]), Analysis[[#This Row],[ItemID]]=""), "", Analysis[[#This Row],[Self Constant Consumption (W)]]+Analysis[[#This Row],[Children Constant Consumption (W)]])</f>
        <v>4564.6000000000004</v>
      </c>
    </row>
    <row r="10" spans="1:14" x14ac:dyDescent="0.25">
      <c r="A10" s="23" t="str">
        <f>IF(IFERROR(Items[[#This Row],[ItemID]], 0)=0, "", Items[[#This Row],[ItemID]])</f>
        <v>FrontRight ESC</v>
      </c>
      <c r="B10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0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0">
        <f>IF(OR(ISBLANK(Analysis[[#This Row],[ItemID]]), Analysis[[#This Row],[ItemID]]=""), "", VLOOKUP(Analysis[[#This Row],[ItemID]], Items[], COLUMN(Items[Output (V)])-COLUMN(Items[])+1, FALSE))</f>
        <v>12</v>
      </c>
      <c r="E10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F10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G10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H10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58.333333333333336</v>
      </c>
      <c r="I10" s="12">
        <f>IF(OR(ISBLANK(Analysis[[#This Row],[ItemID]]), Analysis[[#This Row],[ItemID]]=""), "", VLOOKUP(Analysis[[#This Row],[ItemID]], Items[], COLUMN(Items[Peak Consumption (W)])-COLUMN(Items[])+1, FALSE))</f>
        <v>0</v>
      </c>
      <c r="J10" s="12">
        <f>IF(OR(ISBLANK(Analysis[[#This Row],[ItemID]]), Analysis[[#This Row],[ItemID]]=""), "", SUMIFS(Analysis[Total Peak Consumption (W)], Analysis[Supply Item], Analysis[[#This Row],[ItemID]]))</f>
        <v>1020</v>
      </c>
      <c r="K10" s="12">
        <f>IF(OR(ISBLANK(Analysis[[#This Row],[ItemID]]), Analysis[[#This Row],[ItemID]]=""), "", Analysis[[#This Row],[Self Peak Consumption (W)]]+Analysis[[#This Row],[Children Peak Consumption (W)]])</f>
        <v>1020</v>
      </c>
      <c r="L10" s="12">
        <f>IF(OR(ISBLANK(Analysis[[#This Row],[ItemID]]), Analysis[[#This Row],[ItemID]]=""), "", VLOOKUP(Analysis[[#This Row],[ItemID]], Items[], COLUMN(Items[Constant Consumption (W)])-COLUMN(Items[])+1, FALSE))</f>
        <v>0</v>
      </c>
      <c r="M10" s="12">
        <f>IF(OR(ISBLANK(Analysis[[#This Row],[ItemID]]), Analysis[[#This Row],[ItemID]]=""), "", SUMIFS(Analysis[Total Constant Consumption (W)], Analysis[Supply Item], Analysis[[#This Row],[ItemID]]))</f>
        <v>700</v>
      </c>
      <c r="N10" s="12">
        <f>IF(OR(ISBLANK(Analysis[[#This Row],[ItemID]]), Analysis[[#This Row],[ItemID]]=""), "", Analysis[[#This Row],[Self Constant Consumption (W)]]+Analysis[[#This Row],[Children Constant Consumption (W)]])</f>
        <v>700</v>
      </c>
    </row>
    <row r="11" spans="1:14" x14ac:dyDescent="0.25">
      <c r="A11" s="23" t="str">
        <f>IF(IFERROR(Items[[#This Row],[ItemID]], 0)=0, "", Items[[#This Row],[ItemID]])</f>
        <v>FrontRight Motor</v>
      </c>
      <c r="B11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1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1" t="str">
        <f>IF(OR(ISBLANK(Analysis[[#This Row],[ItemID]]), Analysis[[#This Row],[ItemID]]=""), "", VLOOKUP(Analysis[[#This Row],[ItemID]], Items[], COLUMN(Items[Output (V)])-COLUMN(Items[])+1, FALSE))</f>
        <v/>
      </c>
      <c r="E11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F11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G11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H11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I11" s="12">
        <f>IF(OR(ISBLANK(Analysis[[#This Row],[ItemID]]), Analysis[[#This Row],[ItemID]]=""), "", VLOOKUP(Analysis[[#This Row],[ItemID]], Items[], COLUMN(Items[Peak Consumption (W)])-COLUMN(Items[])+1, FALSE))</f>
        <v>1020</v>
      </c>
      <c r="J11" s="12">
        <f>IF(OR(ISBLANK(Analysis[[#This Row],[ItemID]]), Analysis[[#This Row],[ItemID]]=""), "", SUMIFS(Analysis[Total Peak Consumption (W)], Analysis[Supply Item], Analysis[[#This Row],[ItemID]]))</f>
        <v>0</v>
      </c>
      <c r="K11" s="12">
        <f>IF(OR(ISBLANK(Analysis[[#This Row],[ItemID]]), Analysis[[#This Row],[ItemID]]=""), "", Analysis[[#This Row],[Self Peak Consumption (W)]]+Analysis[[#This Row],[Children Peak Consumption (W)]])</f>
        <v>1020</v>
      </c>
      <c r="L11" s="12">
        <f>IF(OR(ISBLANK(Analysis[[#This Row],[ItemID]]), Analysis[[#This Row],[ItemID]]=""), "", VLOOKUP(Analysis[[#This Row],[ItemID]], Items[], COLUMN(Items[Constant Consumption (W)])-COLUMN(Items[])+1, FALSE))</f>
        <v>700</v>
      </c>
      <c r="M11" s="12">
        <f>IF(OR(ISBLANK(Analysis[[#This Row],[ItemID]]), Analysis[[#This Row],[ItemID]]=""), "", SUMIFS(Analysis[Total Constant Consumption (W)], Analysis[Supply Item], Analysis[[#This Row],[ItemID]]))</f>
        <v>0</v>
      </c>
      <c r="N11" s="12">
        <f>IF(OR(ISBLANK(Analysis[[#This Row],[ItemID]]), Analysis[[#This Row],[ItemID]]=""), "", Analysis[[#This Row],[Self Constant Consumption (W)]]+Analysis[[#This Row],[Children Constant Consumption (W)]])</f>
        <v>700</v>
      </c>
    </row>
    <row r="12" spans="1:14" x14ac:dyDescent="0.25">
      <c r="A12" s="23" t="str">
        <f>IF(IFERROR(Items[[#This Row],[ItemID]], 0)=0, "", Items[[#This Row],[ItemID]])</f>
        <v>MidRight ESC</v>
      </c>
      <c r="B12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2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2">
        <f>IF(OR(ISBLANK(Analysis[[#This Row],[ItemID]]), Analysis[[#This Row],[ItemID]]=""), "", VLOOKUP(Analysis[[#This Row],[ItemID]], Items[], COLUMN(Items[Output (V)])-COLUMN(Items[])+1, FALSE))</f>
        <v>12</v>
      </c>
      <c r="E12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F12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G12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H12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58.333333333333336</v>
      </c>
      <c r="I12" s="12">
        <f>IF(OR(ISBLANK(Analysis[[#This Row],[ItemID]]), Analysis[[#This Row],[ItemID]]=""), "", VLOOKUP(Analysis[[#This Row],[ItemID]], Items[], COLUMN(Items[Peak Consumption (W)])-COLUMN(Items[])+1, FALSE))</f>
        <v>0</v>
      </c>
      <c r="J12" s="12">
        <f>IF(OR(ISBLANK(Analysis[[#This Row],[ItemID]]), Analysis[[#This Row],[ItemID]]=""), "", SUMIFS(Analysis[Total Peak Consumption (W)], Analysis[Supply Item], Analysis[[#This Row],[ItemID]]))</f>
        <v>1020</v>
      </c>
      <c r="K12" s="12">
        <f>IF(OR(ISBLANK(Analysis[[#This Row],[ItemID]]), Analysis[[#This Row],[ItemID]]=""), "", Analysis[[#This Row],[Self Peak Consumption (W)]]+Analysis[[#This Row],[Children Peak Consumption (W)]])</f>
        <v>1020</v>
      </c>
      <c r="L12" s="12">
        <f>IF(OR(ISBLANK(Analysis[[#This Row],[ItemID]]), Analysis[[#This Row],[ItemID]]=""), "", VLOOKUP(Analysis[[#This Row],[ItemID]], Items[], COLUMN(Items[Constant Consumption (W)])-COLUMN(Items[])+1, FALSE))</f>
        <v>0</v>
      </c>
      <c r="M12" s="12">
        <f>IF(OR(ISBLANK(Analysis[[#This Row],[ItemID]]), Analysis[[#This Row],[ItemID]]=""), "", SUMIFS(Analysis[Total Constant Consumption (W)], Analysis[Supply Item], Analysis[[#This Row],[ItemID]]))</f>
        <v>700</v>
      </c>
      <c r="N12" s="12">
        <f>IF(OR(ISBLANK(Analysis[[#This Row],[ItemID]]), Analysis[[#This Row],[ItemID]]=""), "", Analysis[[#This Row],[Self Constant Consumption (W)]]+Analysis[[#This Row],[Children Constant Consumption (W)]])</f>
        <v>700</v>
      </c>
    </row>
    <row r="13" spans="1:14" x14ac:dyDescent="0.25">
      <c r="A13" s="23" t="str">
        <f>IF(IFERROR(Items[[#This Row],[ItemID]], 0)=0, "", Items[[#This Row],[ItemID]])</f>
        <v>MidRight Motor</v>
      </c>
      <c r="B13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3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3" t="str">
        <f>IF(OR(ISBLANK(Analysis[[#This Row],[ItemID]]), Analysis[[#This Row],[ItemID]]=""), "", VLOOKUP(Analysis[[#This Row],[ItemID]], Items[], COLUMN(Items[Output (V)])-COLUMN(Items[])+1, FALSE))</f>
        <v/>
      </c>
      <c r="E13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F13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G13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H13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I13" s="12">
        <f>IF(OR(ISBLANK(Analysis[[#This Row],[ItemID]]), Analysis[[#This Row],[ItemID]]=""), "", VLOOKUP(Analysis[[#This Row],[ItemID]], Items[], COLUMN(Items[Peak Consumption (W)])-COLUMN(Items[])+1, FALSE))</f>
        <v>1020</v>
      </c>
      <c r="J13" s="12">
        <f>IF(OR(ISBLANK(Analysis[[#This Row],[ItemID]]), Analysis[[#This Row],[ItemID]]=""), "", SUMIFS(Analysis[Total Peak Consumption (W)], Analysis[Supply Item], Analysis[[#This Row],[ItemID]]))</f>
        <v>0</v>
      </c>
      <c r="K13" s="12">
        <f>IF(OR(ISBLANK(Analysis[[#This Row],[ItemID]]), Analysis[[#This Row],[ItemID]]=""), "", Analysis[[#This Row],[Self Peak Consumption (W)]]+Analysis[[#This Row],[Children Peak Consumption (W)]])</f>
        <v>1020</v>
      </c>
      <c r="L13" s="12">
        <f>IF(OR(ISBLANK(Analysis[[#This Row],[ItemID]]), Analysis[[#This Row],[ItemID]]=""), "", VLOOKUP(Analysis[[#This Row],[ItemID]], Items[], COLUMN(Items[Constant Consumption (W)])-COLUMN(Items[])+1, FALSE))</f>
        <v>700</v>
      </c>
      <c r="M13" s="12">
        <f>IF(OR(ISBLANK(Analysis[[#This Row],[ItemID]]), Analysis[[#This Row],[ItemID]]=""), "", SUMIFS(Analysis[Total Constant Consumption (W)], Analysis[Supply Item], Analysis[[#This Row],[ItemID]]))</f>
        <v>0</v>
      </c>
      <c r="N13" s="12">
        <f>IF(OR(ISBLANK(Analysis[[#This Row],[ItemID]]), Analysis[[#This Row],[ItemID]]=""), "", Analysis[[#This Row],[Self Constant Consumption (W)]]+Analysis[[#This Row],[Children Constant Consumption (W)]])</f>
        <v>700</v>
      </c>
    </row>
    <row r="14" spans="1:14" x14ac:dyDescent="0.25">
      <c r="A14" s="23" t="str">
        <f>IF(IFERROR(Items[[#This Row],[ItemID]], 0)=0, "", Items[[#This Row],[ItemID]])</f>
        <v>BackRight ESC</v>
      </c>
      <c r="B14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4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4">
        <f>IF(OR(ISBLANK(Analysis[[#This Row],[ItemID]]), Analysis[[#This Row],[ItemID]]=""), "", VLOOKUP(Analysis[[#This Row],[ItemID]], Items[], COLUMN(Items[Output (V)])-COLUMN(Items[])+1, FALSE))</f>
        <v>12</v>
      </c>
      <c r="E14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F14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G14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H14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58.333333333333336</v>
      </c>
      <c r="I14" s="12">
        <f>IF(OR(ISBLANK(Analysis[[#This Row],[ItemID]]), Analysis[[#This Row],[ItemID]]=""), "", VLOOKUP(Analysis[[#This Row],[ItemID]], Items[], COLUMN(Items[Peak Consumption (W)])-COLUMN(Items[])+1, FALSE))</f>
        <v>0</v>
      </c>
      <c r="J14" s="12">
        <f>IF(OR(ISBLANK(Analysis[[#This Row],[ItemID]]), Analysis[[#This Row],[ItemID]]=""), "", SUMIFS(Analysis[Total Peak Consumption (W)], Analysis[Supply Item], Analysis[[#This Row],[ItemID]]))</f>
        <v>1020</v>
      </c>
      <c r="K14" s="12">
        <f>IF(OR(ISBLANK(Analysis[[#This Row],[ItemID]]), Analysis[[#This Row],[ItemID]]=""), "", Analysis[[#This Row],[Self Peak Consumption (W)]]+Analysis[[#This Row],[Children Peak Consumption (W)]])</f>
        <v>1020</v>
      </c>
      <c r="L14" s="12">
        <f>IF(OR(ISBLANK(Analysis[[#This Row],[ItemID]]), Analysis[[#This Row],[ItemID]]=""), "", VLOOKUP(Analysis[[#This Row],[ItemID]], Items[], COLUMN(Items[Constant Consumption (W)])-COLUMN(Items[])+1, FALSE))</f>
        <v>0</v>
      </c>
      <c r="M14" s="12">
        <f>IF(OR(ISBLANK(Analysis[[#This Row],[ItemID]]), Analysis[[#This Row],[ItemID]]=""), "", SUMIFS(Analysis[Total Constant Consumption (W)], Analysis[Supply Item], Analysis[[#This Row],[ItemID]]))</f>
        <v>700</v>
      </c>
      <c r="N14" s="12">
        <f>IF(OR(ISBLANK(Analysis[[#This Row],[ItemID]]), Analysis[[#This Row],[ItemID]]=""), "", Analysis[[#This Row],[Self Constant Consumption (W)]]+Analysis[[#This Row],[Children Constant Consumption (W)]])</f>
        <v>700</v>
      </c>
    </row>
    <row r="15" spans="1:14" x14ac:dyDescent="0.25">
      <c r="A15" s="23" t="str">
        <f>IF(IFERROR(Items[[#This Row],[ItemID]], 0)=0, "", Items[[#This Row],[ItemID]])</f>
        <v>BackRight Motor</v>
      </c>
      <c r="B15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5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5" t="str">
        <f>IF(OR(ISBLANK(Analysis[[#This Row],[ItemID]]), Analysis[[#This Row],[ItemID]]=""), "", VLOOKUP(Analysis[[#This Row],[ItemID]], Items[], COLUMN(Items[Output (V)])-COLUMN(Items[])+1, FALSE))</f>
        <v/>
      </c>
      <c r="E15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F15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G15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H15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I15" s="12">
        <f>IF(OR(ISBLANK(Analysis[[#This Row],[ItemID]]), Analysis[[#This Row],[ItemID]]=""), "", VLOOKUP(Analysis[[#This Row],[ItemID]], Items[], COLUMN(Items[Peak Consumption (W)])-COLUMN(Items[])+1, FALSE))</f>
        <v>1020</v>
      </c>
      <c r="J15" s="12">
        <f>IF(OR(ISBLANK(Analysis[[#This Row],[ItemID]]), Analysis[[#This Row],[ItemID]]=""), "", SUMIFS(Analysis[Total Peak Consumption (W)], Analysis[Supply Item], Analysis[[#This Row],[ItemID]]))</f>
        <v>0</v>
      </c>
      <c r="K15" s="12">
        <f>IF(OR(ISBLANK(Analysis[[#This Row],[ItemID]]), Analysis[[#This Row],[ItemID]]=""), "", Analysis[[#This Row],[Self Peak Consumption (W)]]+Analysis[[#This Row],[Children Peak Consumption (W)]])</f>
        <v>1020</v>
      </c>
      <c r="L15" s="12">
        <f>IF(OR(ISBLANK(Analysis[[#This Row],[ItemID]]), Analysis[[#This Row],[ItemID]]=""), "", VLOOKUP(Analysis[[#This Row],[ItemID]], Items[], COLUMN(Items[Constant Consumption (W)])-COLUMN(Items[])+1, FALSE))</f>
        <v>700</v>
      </c>
      <c r="M15" s="12">
        <f>IF(OR(ISBLANK(Analysis[[#This Row],[ItemID]]), Analysis[[#This Row],[ItemID]]=""), "", SUMIFS(Analysis[Total Constant Consumption (W)], Analysis[Supply Item], Analysis[[#This Row],[ItemID]]))</f>
        <v>0</v>
      </c>
      <c r="N15" s="12">
        <f>IF(OR(ISBLANK(Analysis[[#This Row],[ItemID]]), Analysis[[#This Row],[ItemID]]=""), "", Analysis[[#This Row],[Self Constant Consumption (W)]]+Analysis[[#This Row],[Children Constant Consumption (W)]])</f>
        <v>700</v>
      </c>
    </row>
    <row r="16" spans="1:14" x14ac:dyDescent="0.25">
      <c r="A16" s="23" t="str">
        <f>IF(IFERROR(Items[[#This Row],[ItemID]], 0)=0, "", Items[[#This Row],[ItemID]])</f>
        <v>FrontLeft ESC</v>
      </c>
      <c r="B16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6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6">
        <f>IF(OR(ISBLANK(Analysis[[#This Row],[ItemID]]), Analysis[[#This Row],[ItemID]]=""), "", VLOOKUP(Analysis[[#This Row],[ItemID]], Items[], COLUMN(Items[Output (V)])-COLUMN(Items[])+1, FALSE))</f>
        <v>12</v>
      </c>
      <c r="E16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F16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G16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H16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58.333333333333336</v>
      </c>
      <c r="I16" s="12">
        <f>IF(OR(ISBLANK(Analysis[[#This Row],[ItemID]]), Analysis[[#This Row],[ItemID]]=""), "", VLOOKUP(Analysis[[#This Row],[ItemID]], Items[], COLUMN(Items[Peak Consumption (W)])-COLUMN(Items[])+1, FALSE))</f>
        <v>0</v>
      </c>
      <c r="J16" s="12">
        <f>IF(OR(ISBLANK(Analysis[[#This Row],[ItemID]]), Analysis[[#This Row],[ItemID]]=""), "", SUMIFS(Analysis[Total Peak Consumption (W)], Analysis[Supply Item], Analysis[[#This Row],[ItemID]]))</f>
        <v>1020</v>
      </c>
      <c r="K16" s="12">
        <f>IF(OR(ISBLANK(Analysis[[#This Row],[ItemID]]), Analysis[[#This Row],[ItemID]]=""), "", Analysis[[#This Row],[Self Peak Consumption (W)]]+Analysis[[#This Row],[Children Peak Consumption (W)]])</f>
        <v>1020</v>
      </c>
      <c r="L16" s="12">
        <f>IF(OR(ISBLANK(Analysis[[#This Row],[ItemID]]), Analysis[[#This Row],[ItemID]]=""), "", VLOOKUP(Analysis[[#This Row],[ItemID]], Items[], COLUMN(Items[Constant Consumption (W)])-COLUMN(Items[])+1, FALSE))</f>
        <v>0</v>
      </c>
      <c r="M16" s="12">
        <f>IF(OR(ISBLANK(Analysis[[#This Row],[ItemID]]), Analysis[[#This Row],[ItemID]]=""), "", SUMIFS(Analysis[Total Constant Consumption (W)], Analysis[Supply Item], Analysis[[#This Row],[ItemID]]))</f>
        <v>700</v>
      </c>
      <c r="N16" s="12">
        <f>IF(OR(ISBLANK(Analysis[[#This Row],[ItemID]]), Analysis[[#This Row],[ItemID]]=""), "", Analysis[[#This Row],[Self Constant Consumption (W)]]+Analysis[[#This Row],[Children Constant Consumption (W)]])</f>
        <v>700</v>
      </c>
    </row>
    <row r="17" spans="1:14" x14ac:dyDescent="0.25">
      <c r="A17" s="23" t="str">
        <f>IF(IFERROR(Items[[#This Row],[ItemID]], 0)=0, "", Items[[#This Row],[ItemID]])</f>
        <v>FrontLeft Motor</v>
      </c>
      <c r="B17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17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7" t="str">
        <f>IF(OR(ISBLANK(Analysis[[#This Row],[ItemID]]), Analysis[[#This Row],[ItemID]]=""), "", VLOOKUP(Analysis[[#This Row],[ItemID]], Items[], COLUMN(Items[Output (V)])-COLUMN(Items[])+1, FALSE))</f>
        <v/>
      </c>
      <c r="E17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F17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G17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H17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I17" s="12">
        <f>IF(OR(ISBLANK(Analysis[[#This Row],[ItemID]]), Analysis[[#This Row],[ItemID]]=""), "", VLOOKUP(Analysis[[#This Row],[ItemID]], Items[], COLUMN(Items[Peak Consumption (W)])-COLUMN(Items[])+1, FALSE))</f>
        <v>1020</v>
      </c>
      <c r="J17" s="12">
        <f>IF(OR(ISBLANK(Analysis[[#This Row],[ItemID]]), Analysis[[#This Row],[ItemID]]=""), "", SUMIFS(Analysis[Total Peak Consumption (W)], Analysis[Supply Item], Analysis[[#This Row],[ItemID]]))</f>
        <v>0</v>
      </c>
      <c r="K17" s="12">
        <f>IF(OR(ISBLANK(Analysis[[#This Row],[ItemID]]), Analysis[[#This Row],[ItemID]]=""), "", Analysis[[#This Row],[Self Peak Consumption (W)]]+Analysis[[#This Row],[Children Peak Consumption (W)]])</f>
        <v>1020</v>
      </c>
      <c r="L17" s="12">
        <f>IF(OR(ISBLANK(Analysis[[#This Row],[ItemID]]), Analysis[[#This Row],[ItemID]]=""), "", VLOOKUP(Analysis[[#This Row],[ItemID]], Items[], COLUMN(Items[Constant Consumption (W)])-COLUMN(Items[])+1, FALSE))</f>
        <v>700</v>
      </c>
      <c r="M17" s="12">
        <f>IF(OR(ISBLANK(Analysis[[#This Row],[ItemID]]), Analysis[[#This Row],[ItemID]]=""), "", SUMIFS(Analysis[Total Constant Consumption (W)], Analysis[Supply Item], Analysis[[#This Row],[ItemID]]))</f>
        <v>0</v>
      </c>
      <c r="N17" s="12">
        <f>IF(OR(ISBLANK(Analysis[[#This Row],[ItemID]]), Analysis[[#This Row],[ItemID]]=""), "", Analysis[[#This Row],[Self Constant Consumption (W)]]+Analysis[[#This Row],[Children Constant Consumption (W)]])</f>
        <v>700</v>
      </c>
    </row>
    <row r="18" spans="1:14" x14ac:dyDescent="0.25">
      <c r="A18" s="23" t="str">
        <f>IF(IFERROR(Items[[#This Row],[ItemID]], 0)=0, "", Items[[#This Row],[ItemID]])</f>
        <v>MidLeft ESC</v>
      </c>
      <c r="B18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18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8">
        <f>IF(OR(ISBLANK(Analysis[[#This Row],[ItemID]]), Analysis[[#This Row],[ItemID]]=""), "", VLOOKUP(Analysis[[#This Row],[ItemID]], Items[], COLUMN(Items[Output (V)])-COLUMN(Items[])+1, FALSE))</f>
        <v>12</v>
      </c>
      <c r="E18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F18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G18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H18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58.333333333333336</v>
      </c>
      <c r="I18" s="12">
        <f>IF(OR(ISBLANK(Analysis[[#This Row],[ItemID]]), Analysis[[#This Row],[ItemID]]=""), "", VLOOKUP(Analysis[[#This Row],[ItemID]], Items[], COLUMN(Items[Peak Consumption (W)])-COLUMN(Items[])+1, FALSE))</f>
        <v>0</v>
      </c>
      <c r="J18" s="12">
        <f>IF(OR(ISBLANK(Analysis[[#This Row],[ItemID]]), Analysis[[#This Row],[ItemID]]=""), "", SUMIFS(Analysis[Total Peak Consumption (W)], Analysis[Supply Item], Analysis[[#This Row],[ItemID]]))</f>
        <v>1020</v>
      </c>
      <c r="K18" s="12">
        <f>IF(OR(ISBLANK(Analysis[[#This Row],[ItemID]]), Analysis[[#This Row],[ItemID]]=""), "", Analysis[[#This Row],[Self Peak Consumption (W)]]+Analysis[[#This Row],[Children Peak Consumption (W)]])</f>
        <v>1020</v>
      </c>
      <c r="L18" s="12">
        <f>IF(OR(ISBLANK(Analysis[[#This Row],[ItemID]]), Analysis[[#This Row],[ItemID]]=""), "", VLOOKUP(Analysis[[#This Row],[ItemID]], Items[], COLUMN(Items[Constant Consumption (W)])-COLUMN(Items[])+1, FALSE))</f>
        <v>0</v>
      </c>
      <c r="M18" s="12">
        <f>IF(OR(ISBLANK(Analysis[[#This Row],[ItemID]]), Analysis[[#This Row],[ItemID]]=""), "", SUMIFS(Analysis[Total Constant Consumption (W)], Analysis[Supply Item], Analysis[[#This Row],[ItemID]]))</f>
        <v>700</v>
      </c>
      <c r="N18" s="12">
        <f>IF(OR(ISBLANK(Analysis[[#This Row],[ItemID]]), Analysis[[#This Row],[ItemID]]=""), "", Analysis[[#This Row],[Self Constant Consumption (W)]]+Analysis[[#This Row],[Children Constant Consumption (W)]])</f>
        <v>700</v>
      </c>
    </row>
    <row r="19" spans="1:14" x14ac:dyDescent="0.25">
      <c r="A19" s="23" t="str">
        <f>IF(IFERROR(Items[[#This Row],[ItemID]], 0)=0, "", Items[[#This Row],[ItemID]])</f>
        <v>MidLeft Motor</v>
      </c>
      <c r="B19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19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19" t="str">
        <f>IF(OR(ISBLANK(Analysis[[#This Row],[ItemID]]), Analysis[[#This Row],[ItemID]]=""), "", VLOOKUP(Analysis[[#This Row],[ItemID]], Items[], COLUMN(Items[Output (V)])-COLUMN(Items[])+1, FALSE))</f>
        <v/>
      </c>
      <c r="E19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F19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G19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H19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I19" s="12">
        <f>IF(OR(ISBLANK(Analysis[[#This Row],[ItemID]]), Analysis[[#This Row],[ItemID]]=""), "", VLOOKUP(Analysis[[#This Row],[ItemID]], Items[], COLUMN(Items[Peak Consumption (W)])-COLUMN(Items[])+1, FALSE))</f>
        <v>1020</v>
      </c>
      <c r="J19" s="12">
        <f>IF(OR(ISBLANK(Analysis[[#This Row],[ItemID]]), Analysis[[#This Row],[ItemID]]=""), "", SUMIFS(Analysis[Total Peak Consumption (W)], Analysis[Supply Item], Analysis[[#This Row],[ItemID]]))</f>
        <v>0</v>
      </c>
      <c r="K19" s="12">
        <f>IF(OR(ISBLANK(Analysis[[#This Row],[ItemID]]), Analysis[[#This Row],[ItemID]]=""), "", Analysis[[#This Row],[Self Peak Consumption (W)]]+Analysis[[#This Row],[Children Peak Consumption (W)]])</f>
        <v>1020</v>
      </c>
      <c r="L19" s="12">
        <f>IF(OR(ISBLANK(Analysis[[#This Row],[ItemID]]), Analysis[[#This Row],[ItemID]]=""), "", VLOOKUP(Analysis[[#This Row],[ItemID]], Items[], COLUMN(Items[Constant Consumption (W)])-COLUMN(Items[])+1, FALSE))</f>
        <v>700</v>
      </c>
      <c r="M19" s="12">
        <f>IF(OR(ISBLANK(Analysis[[#This Row],[ItemID]]), Analysis[[#This Row],[ItemID]]=""), "", SUMIFS(Analysis[Total Constant Consumption (W)], Analysis[Supply Item], Analysis[[#This Row],[ItemID]]))</f>
        <v>0</v>
      </c>
      <c r="N19" s="12">
        <f>IF(OR(ISBLANK(Analysis[[#This Row],[ItemID]]), Analysis[[#This Row],[ItemID]]=""), "", Analysis[[#This Row],[Self Constant Consumption (W)]]+Analysis[[#This Row],[Children Constant Consumption (W)]])</f>
        <v>700</v>
      </c>
    </row>
    <row r="20" spans="1:14" x14ac:dyDescent="0.25">
      <c r="A20" s="23" t="str">
        <f>IF(IFERROR(Items[[#This Row],[ItemID]], 0)=0, "", Items[[#This Row],[ItemID]])</f>
        <v>BackLeft ESC</v>
      </c>
      <c r="B20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0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0">
        <f>IF(OR(ISBLANK(Analysis[[#This Row],[ItemID]]), Analysis[[#This Row],[ItemID]]=""), "", VLOOKUP(Analysis[[#This Row],[ItemID]], Items[], COLUMN(Items[Output (V)])-COLUMN(Items[])+1, FALSE))</f>
        <v>12</v>
      </c>
      <c r="E20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F20" s="12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85</v>
      </c>
      <c r="G20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H20" s="12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58.333333333333336</v>
      </c>
      <c r="I20" s="12">
        <f>IF(OR(ISBLANK(Analysis[[#This Row],[ItemID]]), Analysis[[#This Row],[ItemID]]=""), "", VLOOKUP(Analysis[[#This Row],[ItemID]], Items[], COLUMN(Items[Peak Consumption (W)])-COLUMN(Items[])+1, FALSE))</f>
        <v>0</v>
      </c>
      <c r="J20" s="12">
        <f>IF(OR(ISBLANK(Analysis[[#This Row],[ItemID]]), Analysis[[#This Row],[ItemID]]=""), "", SUMIFS(Analysis[Total Peak Consumption (W)], Analysis[Supply Item], Analysis[[#This Row],[ItemID]]))</f>
        <v>1020</v>
      </c>
      <c r="K20" s="12">
        <f>IF(OR(ISBLANK(Analysis[[#This Row],[ItemID]]), Analysis[[#This Row],[ItemID]]=""), "", Analysis[[#This Row],[Self Peak Consumption (W)]]+Analysis[[#This Row],[Children Peak Consumption (W)]])</f>
        <v>1020</v>
      </c>
      <c r="L20" s="12">
        <f>IF(OR(ISBLANK(Analysis[[#This Row],[ItemID]]), Analysis[[#This Row],[ItemID]]=""), "", VLOOKUP(Analysis[[#This Row],[ItemID]], Items[], COLUMN(Items[Constant Consumption (W)])-COLUMN(Items[])+1, FALSE))</f>
        <v>0</v>
      </c>
      <c r="M20" s="12">
        <f>IF(OR(ISBLANK(Analysis[[#This Row],[ItemID]]), Analysis[[#This Row],[ItemID]]=""), "", SUMIFS(Analysis[Total Constant Consumption (W)], Analysis[Supply Item], Analysis[[#This Row],[ItemID]]))</f>
        <v>700</v>
      </c>
      <c r="N20" s="12">
        <f>IF(OR(ISBLANK(Analysis[[#This Row],[ItemID]]), Analysis[[#This Row],[ItemID]]=""), "", Analysis[[#This Row],[Self Constant Consumption (W)]]+Analysis[[#This Row],[Children Constant Consumption (W)]])</f>
        <v>700</v>
      </c>
    </row>
    <row r="21" spans="1:14" x14ac:dyDescent="0.25">
      <c r="A21" s="23" t="str">
        <f>IF(IFERROR(Items[[#This Row],[ItemID]], 0)=0, "", Items[[#This Row],[ItemID]])</f>
        <v>BackLeft Motor</v>
      </c>
      <c r="B21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1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1" t="str">
        <f>IF(OR(ISBLANK(Analysis[[#This Row],[ItemID]]), Analysis[[#This Row],[ItemID]]=""), "", VLOOKUP(Analysis[[#This Row],[ItemID]], Items[], COLUMN(Items[Output (V)])-COLUMN(Items[])+1, FALSE))</f>
        <v/>
      </c>
      <c r="E21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85</v>
      </c>
      <c r="F21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G21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58.333333333333336</v>
      </c>
      <c r="H21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I21" s="12">
        <f>IF(OR(ISBLANK(Analysis[[#This Row],[ItemID]]), Analysis[[#This Row],[ItemID]]=""), "", VLOOKUP(Analysis[[#This Row],[ItemID]], Items[], COLUMN(Items[Peak Consumption (W)])-COLUMN(Items[])+1, FALSE))</f>
        <v>1020</v>
      </c>
      <c r="J21" s="12">
        <f>IF(OR(ISBLANK(Analysis[[#This Row],[ItemID]]), Analysis[[#This Row],[ItemID]]=""), "", SUMIFS(Analysis[Total Peak Consumption (W)], Analysis[Supply Item], Analysis[[#This Row],[ItemID]]))</f>
        <v>0</v>
      </c>
      <c r="K21" s="12">
        <f>IF(OR(ISBLANK(Analysis[[#This Row],[ItemID]]), Analysis[[#This Row],[ItemID]]=""), "", Analysis[[#This Row],[Self Peak Consumption (W)]]+Analysis[[#This Row],[Children Peak Consumption (W)]])</f>
        <v>1020</v>
      </c>
      <c r="L21" s="12">
        <f>IF(OR(ISBLANK(Analysis[[#This Row],[ItemID]]), Analysis[[#This Row],[ItemID]]=""), "", VLOOKUP(Analysis[[#This Row],[ItemID]], Items[], COLUMN(Items[Constant Consumption (W)])-COLUMN(Items[])+1, FALSE))</f>
        <v>700</v>
      </c>
      <c r="M21" s="12">
        <f>IF(OR(ISBLANK(Analysis[[#This Row],[ItemID]]), Analysis[[#This Row],[ItemID]]=""), "", SUMIFS(Analysis[Total Constant Consumption (W)], Analysis[Supply Item], Analysis[[#This Row],[ItemID]]))</f>
        <v>0</v>
      </c>
      <c r="N21" s="12">
        <f>IF(OR(ISBLANK(Analysis[[#This Row],[ItemID]]), Analysis[[#This Row],[ItemID]]=""), "", Analysis[[#This Row],[Self Constant Consumption (W)]]+Analysis[[#This Row],[Children Constant Consumption (W)]])</f>
        <v>700</v>
      </c>
    </row>
    <row r="22" spans="1:14" x14ac:dyDescent="0.25">
      <c r="A22" s="23" t="str">
        <f>IF(IFERROR(Items[[#This Row],[ItemID]], 0)=0, "", Items[[#This Row],[ItemID]])</f>
        <v>Shoulder Motor</v>
      </c>
      <c r="B22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2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2" t="str">
        <f>IF(OR(ISBLANK(Analysis[[#This Row],[ItemID]]), Analysis[[#This Row],[ItemID]]=""), "", VLOOKUP(Analysis[[#This Row],[ItemID]], Items[], COLUMN(Items[Output (V)])-COLUMN(Items[])+1, FALSE))</f>
        <v/>
      </c>
      <c r="E22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20</v>
      </c>
      <c r="F22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G22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20</v>
      </c>
      <c r="H22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I22" s="12">
        <f>IF(OR(ISBLANK(Analysis[[#This Row],[ItemID]]), Analysis[[#This Row],[ItemID]]=""), "", VLOOKUP(Analysis[[#This Row],[ItemID]], Items[], COLUMN(Items[Peak Consumption (W)])-COLUMN(Items[])+1, FALSE))</f>
        <v>240</v>
      </c>
      <c r="J22" s="12">
        <f>IF(OR(ISBLANK(Analysis[[#This Row],[ItemID]]), Analysis[[#This Row],[ItemID]]=""), "", SUMIFS(Analysis[Total Peak Consumption (W)], Analysis[Supply Item], Analysis[[#This Row],[ItemID]]))</f>
        <v>0</v>
      </c>
      <c r="K22" s="12">
        <f>IF(OR(ISBLANK(Analysis[[#This Row],[ItemID]]), Analysis[[#This Row],[ItemID]]=""), "", Analysis[[#This Row],[Self Peak Consumption (W)]]+Analysis[[#This Row],[Children Peak Consumption (W)]])</f>
        <v>240</v>
      </c>
      <c r="L22" s="12">
        <f>IF(OR(ISBLANK(Analysis[[#This Row],[ItemID]]), Analysis[[#This Row],[ItemID]]=""), "", VLOOKUP(Analysis[[#This Row],[ItemID]], Items[], COLUMN(Items[Constant Consumption (W)])-COLUMN(Items[])+1, FALSE))</f>
        <v>240</v>
      </c>
      <c r="M22" s="12">
        <f>IF(OR(ISBLANK(Analysis[[#This Row],[ItemID]]), Analysis[[#This Row],[ItemID]]=""), "", SUMIFS(Analysis[Total Constant Consumption (W)], Analysis[Supply Item], Analysis[[#This Row],[ItemID]]))</f>
        <v>0</v>
      </c>
      <c r="N22" s="12">
        <f>IF(OR(ISBLANK(Analysis[[#This Row],[ItemID]]), Analysis[[#This Row],[ItemID]]=""), "", Analysis[[#This Row],[Self Constant Consumption (W)]]+Analysis[[#This Row],[Children Constant Consumption (W)]])</f>
        <v>240</v>
      </c>
    </row>
    <row r="23" spans="1:14" x14ac:dyDescent="0.25">
      <c r="A23" s="23" t="str">
        <f>IF(IFERROR(Items[[#This Row],[ItemID]], 0)=0, "", Items[[#This Row],[ItemID]])</f>
        <v>Base Motor</v>
      </c>
      <c r="B23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3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3" t="str">
        <f>IF(OR(ISBLANK(Analysis[[#This Row],[ItemID]]), Analysis[[#This Row],[ItemID]]=""), "", VLOOKUP(Analysis[[#This Row],[ItemID]], Items[], COLUMN(Items[Output (V)])-COLUMN(Items[])+1, FALSE))</f>
        <v/>
      </c>
      <c r="E23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4.8999999999999995</v>
      </c>
      <c r="F23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G23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4.8999999999999995</v>
      </c>
      <c r="H23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I23" s="12">
        <f>IF(OR(ISBLANK(Analysis[[#This Row],[ItemID]]), Analysis[[#This Row],[ItemID]]=""), "", VLOOKUP(Analysis[[#This Row],[ItemID]], Items[], COLUMN(Items[Peak Consumption (W)])-COLUMN(Items[])+1, FALSE))</f>
        <v>58.8</v>
      </c>
      <c r="J23" s="12">
        <f>IF(OR(ISBLANK(Analysis[[#This Row],[ItemID]]), Analysis[[#This Row],[ItemID]]=""), "", SUMIFS(Analysis[Total Peak Consumption (W)], Analysis[Supply Item], Analysis[[#This Row],[ItemID]]))</f>
        <v>0</v>
      </c>
      <c r="K23" s="12">
        <f>IF(OR(ISBLANK(Analysis[[#This Row],[ItemID]]), Analysis[[#This Row],[ItemID]]=""), "", Analysis[[#This Row],[Self Peak Consumption (W)]]+Analysis[[#This Row],[Children Peak Consumption (W)]])</f>
        <v>58.8</v>
      </c>
      <c r="L23" s="12">
        <f>IF(OR(ISBLANK(Analysis[[#This Row],[ItemID]]), Analysis[[#This Row],[ItemID]]=""), "", VLOOKUP(Analysis[[#This Row],[ItemID]], Items[], COLUMN(Items[Constant Consumption (W)])-COLUMN(Items[])+1, FALSE))</f>
        <v>58.8</v>
      </c>
      <c r="M23" s="12">
        <f>IF(OR(ISBLANK(Analysis[[#This Row],[ItemID]]), Analysis[[#This Row],[ItemID]]=""), "", SUMIFS(Analysis[Total Constant Consumption (W)], Analysis[Supply Item], Analysis[[#This Row],[ItemID]]))</f>
        <v>0</v>
      </c>
      <c r="N23" s="12">
        <f>IF(OR(ISBLANK(Analysis[[#This Row],[ItemID]]), Analysis[[#This Row],[ItemID]]=""), "", Analysis[[#This Row],[Self Constant Consumption (W)]]+Analysis[[#This Row],[Children Constant Consumption (W)]])</f>
        <v>58.8</v>
      </c>
    </row>
    <row r="24" spans="1:14" x14ac:dyDescent="0.25">
      <c r="A24" s="23" t="str">
        <f>IF(IFERROR(Items[[#This Row],[ItemID]], 0)=0, "", Items[[#This Row],[ItemID]])</f>
        <v>Upper Limb Motor</v>
      </c>
      <c r="B24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Dirty Power</v>
      </c>
      <c r="C24" s="1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>12</v>
      </c>
      <c r="D24" t="str">
        <f>IF(OR(ISBLANK(Analysis[[#This Row],[ItemID]]), Analysis[[#This Row],[ItemID]]=""), "", VLOOKUP(Analysis[[#This Row],[ItemID]], Items[], COLUMN(Items[Output (V)])-COLUMN(Items[])+1, FALSE))</f>
        <v/>
      </c>
      <c r="E24" s="12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4.8999999999999995</v>
      </c>
      <c r="F24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G24" s="12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4.8999999999999995</v>
      </c>
      <c r="H24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I24" s="12">
        <f>IF(OR(ISBLANK(Analysis[[#This Row],[ItemID]]), Analysis[[#This Row],[ItemID]]=""), "", VLOOKUP(Analysis[[#This Row],[ItemID]], Items[], COLUMN(Items[Peak Consumption (W)])-COLUMN(Items[])+1, FALSE))</f>
        <v>58.8</v>
      </c>
      <c r="J24" s="12">
        <f>IF(OR(ISBLANK(Analysis[[#This Row],[ItemID]]), Analysis[[#This Row],[ItemID]]=""), "", SUMIFS(Analysis[Total Peak Consumption (W)], Analysis[Supply Item], Analysis[[#This Row],[ItemID]]))</f>
        <v>0</v>
      </c>
      <c r="K24" s="12">
        <f>IF(OR(ISBLANK(Analysis[[#This Row],[ItemID]]), Analysis[[#This Row],[ItemID]]=""), "", Analysis[[#This Row],[Self Peak Consumption (W)]]+Analysis[[#This Row],[Children Peak Consumption (W)]])</f>
        <v>58.8</v>
      </c>
      <c r="L24" s="12">
        <f>IF(OR(ISBLANK(Analysis[[#This Row],[ItemID]]), Analysis[[#This Row],[ItemID]]=""), "", VLOOKUP(Analysis[[#This Row],[ItemID]], Items[], COLUMN(Items[Constant Consumption (W)])-COLUMN(Items[])+1, FALSE))</f>
        <v>58.8</v>
      </c>
      <c r="M24" s="12">
        <f>IF(OR(ISBLANK(Analysis[[#This Row],[ItemID]]), Analysis[[#This Row],[ItemID]]=""), "", SUMIFS(Analysis[Total Constant Consumption (W)], Analysis[Supply Item], Analysis[[#This Row],[ItemID]]))</f>
        <v>0</v>
      </c>
      <c r="N24" s="12">
        <f>IF(OR(ISBLANK(Analysis[[#This Row],[ItemID]]), Analysis[[#This Row],[ItemID]]=""), "", Analysis[[#This Row],[Self Constant Consumption (W)]]+Analysis[[#This Row],[Children Constant Consumption (W)]])</f>
        <v>58.8</v>
      </c>
    </row>
    <row r="25" spans="1:14" x14ac:dyDescent="0.25">
      <c r="A25" s="23" t="str">
        <f>IF(IFERROR(Items[[#This Row],[ItemID]], 0)=0, "", Items[[#This Row],[ItemID]])</f>
        <v/>
      </c>
      <c r="B25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5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5" t="str">
        <f>IF(OR(ISBLANK(Analysis[[#This Row],[ItemID]]), Analysis[[#This Row],[ItemID]]=""), "", VLOOKUP(Analysis[[#This Row],[ItemID]], Items[], COLUMN(Items[Output (V)])-COLUMN(Items[])+1, FALSE))</f>
        <v/>
      </c>
      <c r="E25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F25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G25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H25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I25" s="12" t="str">
        <f>IF(OR(ISBLANK(Analysis[[#This Row],[ItemID]]), Analysis[[#This Row],[ItemID]]=""), "", VLOOKUP(Analysis[[#This Row],[ItemID]], Items[], COLUMN(Items[Peak Consumption (W)])-COLUMN(Items[])+1, FALSE))</f>
        <v/>
      </c>
      <c r="J25" s="12" t="str">
        <f>IF(OR(ISBLANK(Analysis[[#This Row],[ItemID]]), Analysis[[#This Row],[ItemID]]=""), "", SUMIFS(Analysis[Total Peak Consumption (W)], Analysis[Supply Item], Analysis[[#This Row],[ItemID]]))</f>
        <v/>
      </c>
      <c r="K25" s="12" t="str">
        <f>IF(OR(ISBLANK(Analysis[[#This Row],[ItemID]]), Analysis[[#This Row],[ItemID]]=""), "", Analysis[[#This Row],[Self Peak Consumption (W)]]+Analysis[[#This Row],[Children Peak Consumption (W)]])</f>
        <v/>
      </c>
      <c r="L25" s="12" t="str">
        <f>IF(OR(ISBLANK(Analysis[[#This Row],[ItemID]]), Analysis[[#This Row],[ItemID]]=""), "", VLOOKUP(Analysis[[#This Row],[ItemID]], Items[], COLUMN(Items[Constant Consumption (W)])-COLUMN(Items[])+1, FALSE))</f>
        <v/>
      </c>
      <c r="M25" s="12" t="str">
        <f>IF(OR(ISBLANK(Analysis[[#This Row],[ItemID]]), Analysis[[#This Row],[ItemID]]=""), "", SUMIFS(Analysis[Total Constant Consumption (W)], Analysis[Supply Item], Analysis[[#This Row],[ItemID]]))</f>
        <v/>
      </c>
      <c r="N25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26" spans="1:14" x14ac:dyDescent="0.25">
      <c r="A26" s="23" t="str">
        <f>IF(IFERROR(Items[[#This Row],[ItemID]], 0)=0, "", Items[[#This Row],[ItemID]])</f>
        <v/>
      </c>
      <c r="B26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6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6" t="str">
        <f>IF(OR(ISBLANK(Analysis[[#This Row],[ItemID]]), Analysis[[#This Row],[ItemID]]=""), "", VLOOKUP(Analysis[[#This Row],[ItemID]], Items[], COLUMN(Items[Output (V)])-COLUMN(Items[])+1, FALSE))</f>
        <v/>
      </c>
      <c r="E26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F26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G26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H26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I26" s="12" t="str">
        <f>IF(OR(ISBLANK(Analysis[[#This Row],[ItemID]]), Analysis[[#This Row],[ItemID]]=""), "", VLOOKUP(Analysis[[#This Row],[ItemID]], Items[], COLUMN(Items[Peak Consumption (W)])-COLUMN(Items[])+1, FALSE))</f>
        <v/>
      </c>
      <c r="J26" s="12" t="str">
        <f>IF(OR(ISBLANK(Analysis[[#This Row],[ItemID]]), Analysis[[#This Row],[ItemID]]=""), "", SUMIFS(Analysis[Total Peak Consumption (W)], Analysis[Supply Item], Analysis[[#This Row],[ItemID]]))</f>
        <v/>
      </c>
      <c r="K26" s="12" t="str">
        <f>IF(OR(ISBLANK(Analysis[[#This Row],[ItemID]]), Analysis[[#This Row],[ItemID]]=""), "", Analysis[[#This Row],[Self Peak Consumption (W)]]+Analysis[[#This Row],[Children Peak Consumption (W)]])</f>
        <v/>
      </c>
      <c r="L26" s="12" t="str">
        <f>IF(OR(ISBLANK(Analysis[[#This Row],[ItemID]]), Analysis[[#This Row],[ItemID]]=""), "", VLOOKUP(Analysis[[#This Row],[ItemID]], Items[], COLUMN(Items[Constant Consumption (W)])-COLUMN(Items[])+1, FALSE))</f>
        <v/>
      </c>
      <c r="M26" s="12" t="str">
        <f>IF(OR(ISBLANK(Analysis[[#This Row],[ItemID]]), Analysis[[#This Row],[ItemID]]=""), "", SUMIFS(Analysis[Total Constant Consumption (W)], Analysis[Supply Item], Analysis[[#This Row],[ItemID]]))</f>
        <v/>
      </c>
      <c r="N26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27" spans="1:14" x14ac:dyDescent="0.25">
      <c r="A27" s="23" t="str">
        <f>IF(IFERROR(Items[[#This Row],[ItemID]], 0)=0, "", Items[[#This Row],[ItemID]])</f>
        <v/>
      </c>
      <c r="B27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7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7" t="str">
        <f>IF(OR(ISBLANK(Analysis[[#This Row],[ItemID]]), Analysis[[#This Row],[ItemID]]=""), "", VLOOKUP(Analysis[[#This Row],[ItemID]], Items[], COLUMN(Items[Output (V)])-COLUMN(Items[])+1, FALSE))</f>
        <v/>
      </c>
      <c r="E27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F27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G27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H27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I27" s="12" t="str">
        <f>IF(OR(ISBLANK(Analysis[[#This Row],[ItemID]]), Analysis[[#This Row],[ItemID]]=""), "", VLOOKUP(Analysis[[#This Row],[ItemID]], Items[], COLUMN(Items[Peak Consumption (W)])-COLUMN(Items[])+1, FALSE))</f>
        <v/>
      </c>
      <c r="J27" s="12" t="str">
        <f>IF(OR(ISBLANK(Analysis[[#This Row],[ItemID]]), Analysis[[#This Row],[ItemID]]=""), "", SUMIFS(Analysis[Total Peak Consumption (W)], Analysis[Supply Item], Analysis[[#This Row],[ItemID]]))</f>
        <v/>
      </c>
      <c r="K27" s="12" t="str">
        <f>IF(OR(ISBLANK(Analysis[[#This Row],[ItemID]]), Analysis[[#This Row],[ItemID]]=""), "", Analysis[[#This Row],[Self Peak Consumption (W)]]+Analysis[[#This Row],[Children Peak Consumption (W)]])</f>
        <v/>
      </c>
      <c r="L27" s="12" t="str">
        <f>IF(OR(ISBLANK(Analysis[[#This Row],[ItemID]]), Analysis[[#This Row],[ItemID]]=""), "", VLOOKUP(Analysis[[#This Row],[ItemID]], Items[], COLUMN(Items[Constant Consumption (W)])-COLUMN(Items[])+1, FALSE))</f>
        <v/>
      </c>
      <c r="M27" s="12" t="str">
        <f>IF(OR(ISBLANK(Analysis[[#This Row],[ItemID]]), Analysis[[#This Row],[ItemID]]=""), "", SUMIFS(Analysis[Total Constant Consumption (W)], Analysis[Supply Item], Analysis[[#This Row],[ItemID]]))</f>
        <v/>
      </c>
      <c r="N27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28" spans="1:14" x14ac:dyDescent="0.25">
      <c r="A28" s="23" t="str">
        <f>IF(IFERROR(Items[[#This Row],[ItemID]], 0)=0, "", Items[[#This Row],[ItemID]])</f>
        <v/>
      </c>
      <c r="B28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8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8" t="str">
        <f>IF(OR(ISBLANK(Analysis[[#This Row],[ItemID]]), Analysis[[#This Row],[ItemID]]=""), "", VLOOKUP(Analysis[[#This Row],[ItemID]], Items[], COLUMN(Items[Output (V)])-COLUMN(Items[])+1, FALSE))</f>
        <v/>
      </c>
      <c r="E28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F28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G28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H28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I28" s="12" t="str">
        <f>IF(OR(ISBLANK(Analysis[[#This Row],[ItemID]]), Analysis[[#This Row],[ItemID]]=""), "", VLOOKUP(Analysis[[#This Row],[ItemID]], Items[], COLUMN(Items[Peak Consumption (W)])-COLUMN(Items[])+1, FALSE))</f>
        <v/>
      </c>
      <c r="J28" s="12" t="str">
        <f>IF(OR(ISBLANK(Analysis[[#This Row],[ItemID]]), Analysis[[#This Row],[ItemID]]=""), "", SUMIFS(Analysis[Total Peak Consumption (W)], Analysis[Supply Item], Analysis[[#This Row],[ItemID]]))</f>
        <v/>
      </c>
      <c r="K28" s="12" t="str">
        <f>IF(OR(ISBLANK(Analysis[[#This Row],[ItemID]]), Analysis[[#This Row],[ItemID]]=""), "", Analysis[[#This Row],[Self Peak Consumption (W)]]+Analysis[[#This Row],[Children Peak Consumption (W)]])</f>
        <v/>
      </c>
      <c r="L28" s="12" t="str">
        <f>IF(OR(ISBLANK(Analysis[[#This Row],[ItemID]]), Analysis[[#This Row],[ItemID]]=""), "", VLOOKUP(Analysis[[#This Row],[ItemID]], Items[], COLUMN(Items[Constant Consumption (W)])-COLUMN(Items[])+1, FALSE))</f>
        <v/>
      </c>
      <c r="M28" s="12" t="str">
        <f>IF(OR(ISBLANK(Analysis[[#This Row],[ItemID]]), Analysis[[#This Row],[ItemID]]=""), "", SUMIFS(Analysis[Total Constant Consumption (W)], Analysis[Supply Item], Analysis[[#This Row],[ItemID]]))</f>
        <v/>
      </c>
      <c r="N28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29" spans="1:14" x14ac:dyDescent="0.25">
      <c r="A29" s="23" t="str">
        <f>IF(IFERROR(Items[[#This Row],[ItemID]], 0)=0, "", Items[[#This Row],[ItemID]])</f>
        <v/>
      </c>
      <c r="B29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9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29" t="str">
        <f>IF(OR(ISBLANK(Analysis[[#This Row],[ItemID]]), Analysis[[#This Row],[ItemID]]=""), "", VLOOKUP(Analysis[[#This Row],[ItemID]], Items[], COLUMN(Items[Output (V)])-COLUMN(Items[])+1, FALSE))</f>
        <v/>
      </c>
      <c r="E29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F29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G29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H29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I29" s="12" t="str">
        <f>IF(OR(ISBLANK(Analysis[[#This Row],[ItemID]]), Analysis[[#This Row],[ItemID]]=""), "", VLOOKUP(Analysis[[#This Row],[ItemID]], Items[], COLUMN(Items[Peak Consumption (W)])-COLUMN(Items[])+1, FALSE))</f>
        <v/>
      </c>
      <c r="J29" s="12" t="str">
        <f>IF(OR(ISBLANK(Analysis[[#This Row],[ItemID]]), Analysis[[#This Row],[ItemID]]=""), "", SUMIFS(Analysis[Total Peak Consumption (W)], Analysis[Supply Item], Analysis[[#This Row],[ItemID]]))</f>
        <v/>
      </c>
      <c r="K29" s="12" t="str">
        <f>IF(OR(ISBLANK(Analysis[[#This Row],[ItemID]]), Analysis[[#This Row],[ItemID]]=""), "", Analysis[[#This Row],[Self Peak Consumption (W)]]+Analysis[[#This Row],[Children Peak Consumption (W)]])</f>
        <v/>
      </c>
      <c r="L29" s="12" t="str">
        <f>IF(OR(ISBLANK(Analysis[[#This Row],[ItemID]]), Analysis[[#This Row],[ItemID]]=""), "", VLOOKUP(Analysis[[#This Row],[ItemID]], Items[], COLUMN(Items[Constant Consumption (W)])-COLUMN(Items[])+1, FALSE))</f>
        <v/>
      </c>
      <c r="M29" s="12" t="str">
        <f>IF(OR(ISBLANK(Analysis[[#This Row],[ItemID]]), Analysis[[#This Row],[ItemID]]=""), "", SUMIFS(Analysis[Total Constant Consumption (W)], Analysis[Supply Item], Analysis[[#This Row],[ItemID]]))</f>
        <v/>
      </c>
      <c r="N29" s="12" t="str">
        <f>IF(OR(ISBLANK(Analysis[[#This Row],[ItemID]]), Analysis[[#This Row],[ItemID]]=""), "", Analysis[[#This Row],[Self Constant Consumption (W)]]+Analysis[[#This Row],[Children Constant Consumption (W)]])</f>
        <v/>
      </c>
    </row>
    <row r="30" spans="1:14" x14ac:dyDescent="0.25">
      <c r="A30" s="23" t="str">
        <f>IF(IFERROR(Items[[#This Row],[ItemID]], 0)=0, "", Items[[#This Row],[ItemID]])</f>
        <v/>
      </c>
      <c r="B30" s="23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0" s="1" t="str">
        <f>IF(OR(ISBLANK(Analysis[[#This Row],[ItemID]]), Analysis[[#This Row],[ItemID]]="", ISBLANK(Analysis[[#This Row],[Supply Item]]), Analysis[[#This Row],[Supply Item]]=""), "", VLOOKUP(Analysis[[#This Row],[Supply Item]], Items[], COLUMN(Items[Output (V)])-COLUMN(Items[])+1, FALSE))</f>
        <v/>
      </c>
      <c r="D30" t="str">
        <f>IF(OR(ISBLANK(Analysis[[#This Row],[ItemID]]), Analysis[[#This Row],[ItemID]]=""), "", VLOOKUP(Analysis[[#This Row],[ItemID]], Items[], COLUMN(Items[Output (V)])-COLUMN(Items[])+1, FALSE))</f>
        <v/>
      </c>
      <c r="E30" s="12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F30" s="12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G30" s="12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H30" s="12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I30" s="12" t="str">
        <f>IF(OR(ISBLANK(Analysis[[#This Row],[ItemID]]), Analysis[[#This Row],[ItemID]]=""), "", VLOOKUP(Analysis[[#This Row],[ItemID]], Items[], COLUMN(Items[Peak Consumption (W)])-COLUMN(Items[])+1, FALSE))</f>
        <v/>
      </c>
      <c r="J30" s="12" t="str">
        <f>IF(OR(ISBLANK(Analysis[[#This Row],[ItemID]]), Analysis[[#This Row],[ItemID]]=""), "", SUMIFS(Analysis[Total Peak Consumption (W)], Analysis[Supply Item], Analysis[[#This Row],[ItemID]]))</f>
        <v/>
      </c>
      <c r="K30" s="12" t="str">
        <f>IF(OR(ISBLANK(Analysis[[#This Row],[ItemID]]), Analysis[[#This Row],[ItemID]]=""), "", Analysis[[#This Row],[Self Peak Consumption (W)]]+Analysis[[#This Row],[Children Peak Consumption (W)]])</f>
        <v/>
      </c>
      <c r="L30" s="12" t="str">
        <f>IF(OR(ISBLANK(Analysis[[#This Row],[ItemID]]), Analysis[[#This Row],[ItemID]]=""), "", VLOOKUP(Analysis[[#This Row],[ItemID]], Items[], COLUMN(Items[Constant Consumption (W)])-COLUMN(Items[])+1, FALSE))</f>
        <v/>
      </c>
      <c r="M30" s="12" t="str">
        <f>IF(OR(ISBLANK(Analysis[[#This Row],[ItemID]]), Analysis[[#This Row],[ItemID]]=""), "", SUMIFS(Analysis[Total Constant Consumption (W)], Analysis[Supply Item], Analysis[[#This Row],[ItemID]]))</f>
        <v/>
      </c>
      <c r="N30" s="12" t="str">
        <f>IF(OR(ISBLANK(Analysis[[#This Row],[ItemID]]), Analysis[[#This Row],[ItemID]]=""), "", Analysis[[#This Row],[Self Constant Consumption (W)]]+Analysis[[#This Row],[Children Constant Consumption (W)]])</f>
        <v/>
      </c>
    </row>
  </sheetData>
  <sheetProtection sheet="1" objects="1" scenarios="1"/>
  <dataValidations count="1">
    <dataValidation type="list" allowBlank="1" showInputMessage="1" showErrorMessage="1" sqref="B2:B30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M8" sqref="M8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10" max="10" width="12.28515625" customWidth="1"/>
    <col min="11" max="11" width="11.7109375" bestFit="1" customWidth="1"/>
    <col min="12" max="13" width="9.140625" customWidth="1"/>
    <col min="14" max="14" width="13.28515625" bestFit="1" customWidth="1"/>
    <col min="15" max="15" width="13.85546875" bestFit="1" customWidth="1"/>
    <col min="16" max="16" width="13.28515625" bestFit="1" customWidth="1"/>
    <col min="17" max="17" width="13.85546875" bestFit="1" customWidth="1"/>
    <col min="18" max="18" width="12.85546875" bestFit="1" customWidth="1"/>
  </cols>
  <sheetData>
    <row r="1" spans="1:18" x14ac:dyDescent="0.25">
      <c r="A1" t="s">
        <v>11</v>
      </c>
      <c r="B1" t="s">
        <v>89</v>
      </c>
      <c r="C1" t="s">
        <v>90</v>
      </c>
      <c r="D1" t="s">
        <v>91</v>
      </c>
      <c r="E1" t="s">
        <v>87</v>
      </c>
      <c r="F1" t="s">
        <v>86</v>
      </c>
      <c r="G1" t="s">
        <v>37</v>
      </c>
      <c r="H1" t="s">
        <v>36</v>
      </c>
      <c r="O1" t="s">
        <v>54</v>
      </c>
      <c r="P1" t="s">
        <v>55</v>
      </c>
      <c r="Q1" t="s">
        <v>56</v>
      </c>
      <c r="R1" t="s">
        <v>57</v>
      </c>
    </row>
    <row r="2" spans="1:18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O2" t="s">
        <v>14</v>
      </c>
      <c r="P2">
        <f>IF(ISBLANK(RailSummary[[#This Row],[Power Rail]]), "", VLOOKUP(RailSummary[[#This Row],[Power Rail]], Analysis[], COLUMN(Analysis[Output (V)])-COLUMN(Analysis[])+1, FALSE))</f>
        <v>24</v>
      </c>
      <c r="Q2" s="5">
        <f>IF(ISBLANK(RailSummary[[#This Row],[Power Rail]]), "", VLOOKUP(RailSummary[[#This Row],[Power Rail]], Analysis[], COLUMN(Analysis[Peak Output (A)])-COLUMN(Analysis[])+1, FALSE))</f>
        <v>270.62916666666666</v>
      </c>
      <c r="R2" s="4">
        <f>IF(ISBLANK(RailSummary[[#This Row],[Power Rail]]), "", RailSummary[[#This Row],[Voltage (V)]]*RailSummary[[#This Row],[Current (W)]])</f>
        <v>6495.1</v>
      </c>
    </row>
    <row r="3" spans="1:18" x14ac:dyDescent="0.25">
      <c r="A3" t="str">
        <f>IF(IFERROR(Analysis[[#This Row],[ItemID]], 0)=0, "", Analysis[[#This Row],[ItemID]])</f>
        <v>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400</v>
      </c>
      <c r="C3" s="13">
        <f>IF(OR(ISBLANK(Results[[#This Row],[ItemID]]), Results[[#This Row],[ItemID]]=0, Results[[#This Row],[ItemID]]=""), "", VLOOKUP(Results[[#This Row],[ItemID]], Analysis[], COLUMN(Analysis[Peak Output (A)])-COLUMN(Analysis[])+1, FALSE))</f>
        <v>270.62916666666666</v>
      </c>
      <c r="D3" s="13">
        <f>IF(OR(ISBLANK(Results[[#This Row],[ItemID]]), Results[[#This Row],[ItemID]]=0, Results[[#This Row],[ItemID]]=""), "", VLOOKUP(Results[[#This Row],[ItemID]], Analysis[], COLUMN(Analysis[Constant Output (A)])-COLUMN(Analysis[])+1, FALSE))</f>
        <v>190.62916666666669</v>
      </c>
      <c r="E3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0.67657291666666663</v>
      </c>
      <c r="F3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0.47657291666666673</v>
      </c>
      <c r="G3" s="12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1000</v>
      </c>
      <c r="H3" s="5">
        <f>IF(OR(ISBLANK(Results[[#This Row],[ItemID]]), Results[[#This Row],[Constant Current Used]]="", Results[[#This Row],[Battery (mAh)]]=""), "", Results[[#This Row],[Battery (mAh)]]/Results[[#This Row],[Constant Current Used]])</f>
        <v>5.2457869773338279</v>
      </c>
      <c r="K3" t="s">
        <v>39</v>
      </c>
      <c r="L3" s="14" t="str">
        <f>IF(COUNTIF(Results[Constant % Capacity], "&gt;1")=0, IF(COUNTIF(Results[Peak % Capacity], "&gt;1")=0, "GO", "MAYBE"), "HOLD")</f>
        <v>MAYBE</v>
      </c>
      <c r="O3" t="s">
        <v>50</v>
      </c>
      <c r="P3">
        <f>IF(ISBLANK(RailSummary[[#This Row],[Power Rail]]), "", VLOOKUP(RailSummary[[#This Row],[Power Rail]], Analysis[], COLUMN(Analysis[Output (V)])-COLUMN(Analysis[])+1, FALSE))</f>
        <v>24</v>
      </c>
      <c r="Q3" s="5">
        <f>IF(ISBLANK(RailSummary[[#This Row],[Power Rail]]), "", VLOOKUP(RailSummary[[#This Row],[Power Rail]], Analysis[], COLUMN(Analysis[Peak Output (A)])-COLUMN(Analysis[])+1, FALSE))</f>
        <v>0.33333333333333331</v>
      </c>
      <c r="R3" s="4">
        <f>IF(ISBLANK(RailSummary[[#This Row],[Power Rail]]), "", RailSummary[[#This Row],[Voltage (V)]]*RailSummary[[#This Row],[Current (W)]])</f>
        <v>8</v>
      </c>
    </row>
    <row r="4" spans="1:18" x14ac:dyDescent="0.25">
      <c r="A4" t="str">
        <f>IF(IFERROR(Analysis[[#This Row],[ItemID]], 0)=0, "", Analysis[[#This Row],[ItemID]])</f>
        <v>Logic Supply</v>
      </c>
      <c r="B4">
        <f>IF(OR(ISBLANK(Results[[#This Row],[ItemID]]), Results[[#This Row],[ItemID]]=0, Results[[#This Row],[ItemID]]=""), "", VLOOKUP(Results[[#This Row],[ItemID]], Items[], COLUMN(Items[Output (A)])-COLUMN(Items[])+1, FALSE))</f>
        <v>550</v>
      </c>
      <c r="C4" s="13">
        <f>IF(OR(ISBLANK(Results[[#This Row],[ItemID]]), Results[[#This Row],[ItemID]]=0, Results[[#This Row],[ItemID]]=""), "", VLOOKUP(Results[[#This Row],[ItemID]], Analysis[], COLUMN(Analysis[Peak Output (A)])-COLUMN(Analysis[])+1, FALSE))</f>
        <v>1.4</v>
      </c>
      <c r="D4" s="13">
        <f>IF(OR(ISBLANK(Results[[#This Row],[ItemID]]), Results[[#This Row],[ItemID]]=0, Results[[#This Row],[ItemID]]=""), "", VLOOKUP(Results[[#This Row],[ItemID]], Analysis[], COLUMN(Analysis[Constant Output (A)])-COLUMN(Analysis[])+1, FALSE))</f>
        <v>1.4</v>
      </c>
      <c r="E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2.5454545454545452E-3</v>
      </c>
      <c r="F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2.5454545454545452E-3</v>
      </c>
      <c r="G4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4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K4" t="s">
        <v>88</v>
      </c>
      <c r="L4" s="15" t="str">
        <f>CONCATENATE(TEXT(INT(MIN(Results[Battery Life (hrs)])), "#"),":",TEXT(MOD(MIN(Results[Battery Life (hrs)]), 1)*60, "0#"))</f>
        <v>5:15</v>
      </c>
      <c r="O4" t="s">
        <v>32</v>
      </c>
      <c r="P4">
        <f>IF(ISBLANK(RailSummary[[#This Row],[Power Rail]]), "", VLOOKUP(RailSummary[[#This Row],[Power Rail]], Analysis[], COLUMN(Analysis[Output (V)])-COLUMN(Analysis[])+1, FALSE))</f>
        <v>5</v>
      </c>
      <c r="Q4" s="5">
        <f>IF(ISBLANK(RailSummary[[#This Row],[Power Rail]]), "", VLOOKUP(RailSummary[[#This Row],[Power Rail]], Analysis[], COLUMN(Analysis[Peak Output (A)])-COLUMN(Analysis[])+1, FALSE))</f>
        <v>1.4</v>
      </c>
      <c r="R4" s="4">
        <f>IF(ISBLANK(RailSummary[[#This Row],[Power Rail]]), "", RailSummary[[#This Row],[Voltage (V)]]*RailSummary[[#This Row],[Current (W)]])</f>
        <v>7</v>
      </c>
    </row>
    <row r="5" spans="1:18" x14ac:dyDescent="0.25">
      <c r="A5" t="str">
        <f>IF(IFERROR(Analysis[[#This Row],[ItemID]], 0)=0, "", Analysis[[#This Row],[ItemID]])</f>
        <v>Master Control</v>
      </c>
      <c r="B5">
        <f>IF(OR(ISBLANK(Results[[#This Row],[ItemID]]), Results[[#This Row],[ItemID]]=0, Results[[#This Row],[ItemID]]=""), "", VLOOKUP(Results[[#This Row],[ItemID]], Items[], COLUMN(Items[Output (A)])-COLUMN(Items[])+1, FALSE))</f>
        <v>0.5</v>
      </c>
      <c r="C5" s="13">
        <f>IF(OR(ISBLANK(Results[[#This Row],[ItemID]]), Results[[#This Row],[ItemID]]=0, Results[[#This Row],[ItemID]]=""), "", VLOOKUP(Results[[#This Row],[ItemID]], Analysis[], COLUMN(Analysis[Peak Output (A)])-COLUMN(Analysis[])+1, FALSE))</f>
        <v>0</v>
      </c>
      <c r="D5" s="13">
        <f>IF(OR(ISBLANK(Results[[#This Row],[ItemID]]), Results[[#This Row],[ItemID]]=0, Results[[#This Row],[ItemID]]=""), "", VLOOKUP(Results[[#This Row],[ItemID]], Analysis[], COLUMN(Analysis[Constant Output (A)])-COLUMN(Analysis[])+1, FALSE))</f>
        <v>0</v>
      </c>
      <c r="E5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</v>
      </c>
      <c r="F5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</v>
      </c>
      <c r="G5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O5" t="s">
        <v>40</v>
      </c>
      <c r="P5">
        <f>IF(ISBLANK(RailSummary[[#This Row],[Power Rail]]), "", VLOOKUP(RailSummary[[#This Row],[Power Rail]], Analysis[], COLUMN(Analysis[Output (V)])-COLUMN(Analysis[])+1, FALSE))</f>
        <v>12</v>
      </c>
      <c r="Q5" s="5">
        <f>IF(ISBLANK(RailSummary[[#This Row],[Power Rail]]), "", VLOOKUP(RailSummary[[#This Row],[Power Rail]], Analysis[], COLUMN(Analysis[Peak Output (A)])-COLUMN(Analysis[])+1, FALSE))</f>
        <v>540.38333333333333</v>
      </c>
      <c r="R5" s="4">
        <f>IF(ISBLANK(RailSummary[[#This Row],[Power Rail]]), "", RailSummary[[#This Row],[Voltage (V)]]*RailSummary[[#This Row],[Current (W)]])</f>
        <v>6484.6</v>
      </c>
    </row>
    <row r="6" spans="1:18" x14ac:dyDescent="0.25">
      <c r="A6" t="str">
        <f>IF(IFERROR(Analysis[[#This Row],[ItemID]], 0)=0, "", Analysis[[#This Row],[ItemID]])</f>
        <v>Comms Power</v>
      </c>
      <c r="B6">
        <f>IF(OR(ISBLANK(Results[[#This Row],[ItemID]]), Results[[#This Row],[ItemID]]=0, Results[[#This Row],[ItemID]]=""), "", VLOOKUP(Results[[#This Row],[ItemID]], Items[], COLUMN(Items[Output (A)])-COLUMN(Items[])+1, FALSE))</f>
        <v>1</v>
      </c>
      <c r="C6" s="13">
        <f>IF(OR(ISBLANK(Results[[#This Row],[ItemID]]), Results[[#This Row],[ItemID]]=0, Results[[#This Row],[ItemID]]=""), "", VLOOKUP(Results[[#This Row],[ItemID]], Analysis[], COLUMN(Analysis[Peak Output (A)])-COLUMN(Analysis[])+1, FALSE))</f>
        <v>0.33333333333333331</v>
      </c>
      <c r="D6" s="13">
        <f>IF(OR(ISBLANK(Results[[#This Row],[ItemID]]), Results[[#This Row],[ItemID]]=0, Results[[#This Row],[ItemID]]=""), "", VLOOKUP(Results[[#This Row],[ItemID]], Analysis[], COLUMN(Analysis[Constant Output (A)])-COLUMN(Analysis[])+1, FALSE))</f>
        <v>0.33333333333333331</v>
      </c>
      <c r="E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0.33333333333333331</v>
      </c>
      <c r="F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0.33333333333333331</v>
      </c>
      <c r="G6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P6" t="str">
        <f>IF(ISBLANK(RailSummary[[#This Row],[Power Rail]]), "", VLOOKUP(RailSummary[[#This Row],[Power Rail]], Analysis[], COLUMN(Analysis[Output (V)])-COLUMN(Analysis[])+1, FALSE))</f>
        <v/>
      </c>
      <c r="Q6" s="5" t="str">
        <f>IF(ISBLANK(RailSummary[[#This Row],[Power Rail]]), "", VLOOKUP(RailSummary[[#This Row],[Power Rail]], Analysis[], COLUMN(Analysis[Peak Output (A)])-COLUMN(Analysis[])+1, FALSE))</f>
        <v/>
      </c>
      <c r="R6" s="4" t="str">
        <f>IF(ISBLANK(RailSummary[[#This Row],[Power Rail]]), "", RailSummary[[#This Row],[Voltage (V)]]*RailSummary[[#This Row],[Current (W)]])</f>
        <v/>
      </c>
    </row>
    <row r="7" spans="1:18" x14ac:dyDescent="0.25">
      <c r="A7" t="str">
        <f>IF(IFERROR(Analysis[[#This Row],[ItemID]], 0)=0, "", Analysis[[#This Row],[ItemID]])</f>
        <v>Transceiver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1</v>
      </c>
      <c r="C7" s="13">
        <f>IF(OR(ISBLANK(Results[[#This Row],[ItemID]]), Results[[#This Row],[ItemID]]=0, Results[[#This Row],[ItemID]]=""), "", VLOOKUP(Results[[#This Row],[ItemID]], Analysis[], COLUMN(Analysis[Peak Output (A)])-COLUMN(Analysis[])+1, FALSE))</f>
        <v>0.3125</v>
      </c>
      <c r="D7" s="13">
        <f>IF(OR(ISBLANK(Results[[#This Row],[ItemID]]), Results[[#This Row],[ItemID]]=0, Results[[#This Row],[ItemID]]=""), "", VLOOKUP(Results[[#This Row],[ItemID]], Analysis[], COLUMN(Analysis[Constant Output (A)])-COLUMN(Analysis[])+1, FALSE))</f>
        <v>0.3125</v>
      </c>
      <c r="E7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0.3125</v>
      </c>
      <c r="F7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0.3125</v>
      </c>
      <c r="G7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J7" s="16"/>
      <c r="K7" s="16"/>
      <c r="P7" t="str">
        <f>IF(ISBLANK(RailSummary[[#This Row],[Power Rail]]), "", VLOOKUP(RailSummary[[#This Row],[Power Rail]], Analysis[], COLUMN(Analysis[Output (V)])-COLUMN(Analysis[])+1, FALSE))</f>
        <v/>
      </c>
      <c r="Q7" s="5" t="str">
        <f>IF(ISBLANK(RailSummary[[#This Row],[Power Rail]]), "", VLOOKUP(RailSummary[[#This Row],[Power Rail]], Analysis[], COLUMN(Analysis[Peak Output (A)])-COLUMN(Analysis[])+1, FALSE))</f>
        <v/>
      </c>
      <c r="R7" s="4" t="str">
        <f>IF(ISBLANK(RailSummary[[#This Row],[Power Rail]]), "", RailSummary[[#This Row],[Voltage (V)]]*RailSummary[[#This Row],[Current (W)]])</f>
        <v/>
      </c>
    </row>
    <row r="8" spans="1:18" x14ac:dyDescent="0.25">
      <c r="A8" t="str">
        <f>IF(IFERROR(Analysis[[#This Row],[ItemID]], 0)=0, "", Analysis[[#This Row],[ItemID]])</f>
        <v>Antenna</v>
      </c>
      <c r="B8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8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  <c r="P8" t="str">
        <f>IF(ISBLANK(RailSummary[[#This Row],[Power Rail]]), "", VLOOKUP(RailSummary[[#This Row],[Power Rail]], Analysis[], COLUMN(Analysis[Output (V)])-COLUMN(Analysis[])+1, FALSE))</f>
        <v/>
      </c>
      <c r="Q8" s="5" t="str">
        <f>IF(ISBLANK(RailSummary[[#This Row],[Power Rail]]), "", VLOOKUP(RailSummary[[#This Row],[Power Rail]], Analysis[], COLUMN(Analysis[Peak Output (A)])-COLUMN(Analysis[])+1, FALSE))</f>
        <v/>
      </c>
      <c r="R8" s="4" t="str">
        <f>IF(ISBLANK(RailSummary[[#This Row],[Power Rail]]), "", RailSummary[[#This Row],[Voltage (V)]]*RailSummary[[#This Row],[Current (W)]])</f>
        <v/>
      </c>
    </row>
    <row r="9" spans="1:18" x14ac:dyDescent="0.25">
      <c r="A9" t="str">
        <f>IF(IFERROR(Analysis[[#This Row],[ItemID]], 0)=0, "", Analysis[[#This Row],[ItemID]])</f>
        <v>Dirty Power</v>
      </c>
      <c r="B9">
        <f>IF(OR(ISBLANK(Results[[#This Row],[ItemID]]), Results[[#This Row],[ItemID]]=0, Results[[#This Row],[ItemID]]=""), "", VLOOKUP(Results[[#This Row],[ItemID]], Items[], COLUMN(Items[Output (A)])-COLUMN(Items[])+1, FALSE))</f>
        <v>550</v>
      </c>
      <c r="C9" s="13">
        <f>IF(OR(ISBLANK(Results[[#This Row],[ItemID]]), Results[[#This Row],[ItemID]]=0, Results[[#This Row],[ItemID]]=""), "", VLOOKUP(Results[[#This Row],[ItemID]], Analysis[], COLUMN(Analysis[Peak Output (A)])-COLUMN(Analysis[])+1, FALSE))</f>
        <v>540.38333333333333</v>
      </c>
      <c r="D9" s="13">
        <f>IF(OR(ISBLANK(Results[[#This Row],[ItemID]]), Results[[#This Row],[ItemID]]=0, Results[[#This Row],[ItemID]]=""), "", VLOOKUP(Results[[#This Row],[ItemID]], Analysis[], COLUMN(Analysis[Constant Output (A)])-COLUMN(Analysis[])+1, FALSE))</f>
        <v>380.38333333333338</v>
      </c>
      <c r="E9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0.98251515151515145</v>
      </c>
      <c r="F9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0.69160606060606067</v>
      </c>
      <c r="G9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0" spans="1:18" x14ac:dyDescent="0.25">
      <c r="A10" t="str">
        <f>IF(IFERROR(Analysis[[#This Row],[ItemID]], 0)=0, "", Analysis[[#This Row],[ItemID]])</f>
        <v>FrontRight ESC</v>
      </c>
      <c r="B10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0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10" s="13">
        <f>IF(OR(ISBLANK(Results[[#This Row],[ItemID]]), Results[[#This Row],[ItemID]]=0, Results[[#This Row],[ItemID]]=""), "", VLOOKUP(Results[[#This Row],[ItemID]], Analysis[], COLUMN(Analysis[Constant Output (A)])-COLUMN(Analysis[])+1, FALSE))</f>
        <v>58.333333333333336</v>
      </c>
      <c r="E1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1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0.97222222222222221</v>
      </c>
      <c r="G10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1" spans="1:18" x14ac:dyDescent="0.25">
      <c r="A11" t="str">
        <f>IF(IFERROR(Analysis[[#This Row],[ItemID]], 0)=0, "", Analysis[[#This Row],[ItemID]])</f>
        <v>FrontRight Motor</v>
      </c>
      <c r="B1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1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1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1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1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1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2" spans="1:18" x14ac:dyDescent="0.25">
      <c r="A12" t="str">
        <f>IF(IFERROR(Analysis[[#This Row],[ItemID]], 0)=0, "", Analysis[[#This Row],[ItemID]])</f>
        <v>MidRight ESC</v>
      </c>
      <c r="B12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2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12" s="13">
        <f>IF(OR(ISBLANK(Results[[#This Row],[ItemID]]), Results[[#This Row],[ItemID]]=0, Results[[#This Row],[ItemID]]=""), "", VLOOKUP(Results[[#This Row],[ItemID]], Analysis[], COLUMN(Analysis[Constant Output (A)])-COLUMN(Analysis[])+1, FALSE))</f>
        <v>58.333333333333336</v>
      </c>
      <c r="E12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12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0.97222222222222221</v>
      </c>
      <c r="G12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3" spans="1:18" x14ac:dyDescent="0.25">
      <c r="A13" t="str">
        <f>IF(IFERROR(Analysis[[#This Row],[ItemID]], 0)=0, "", Analysis[[#This Row],[ItemID]])</f>
        <v>MidRight Motor</v>
      </c>
      <c r="B13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3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3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3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3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3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4" spans="1:18" x14ac:dyDescent="0.25">
      <c r="A14" t="str">
        <f>IF(IFERROR(Analysis[[#This Row],[ItemID]], 0)=0, "", Analysis[[#This Row],[ItemID]])</f>
        <v>BackRight ESC</v>
      </c>
      <c r="B14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4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14" s="13">
        <f>IF(OR(ISBLANK(Results[[#This Row],[ItemID]]), Results[[#This Row],[ItemID]]=0, Results[[#This Row],[ItemID]]=""), "", VLOOKUP(Results[[#This Row],[ItemID]], Analysis[], COLUMN(Analysis[Constant Output (A)])-COLUMN(Analysis[])+1, FALSE))</f>
        <v>58.333333333333336</v>
      </c>
      <c r="E14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14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0.97222222222222221</v>
      </c>
      <c r="G14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5" spans="1:18" x14ac:dyDescent="0.25">
      <c r="A15" t="str">
        <f>IF(IFERROR(Analysis[[#This Row],[ItemID]], 0)=0, "", Analysis[[#This Row],[ItemID]])</f>
        <v>BackRight Motor</v>
      </c>
      <c r="B15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5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5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5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5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5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6" spans="1:18" x14ac:dyDescent="0.25">
      <c r="A16" t="str">
        <f>IF(IFERROR(Analysis[[#This Row],[ItemID]], 0)=0, "", Analysis[[#This Row],[ItemID]])</f>
        <v>FrontLeft ESC</v>
      </c>
      <c r="B16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6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16" s="13">
        <f>IF(OR(ISBLANK(Results[[#This Row],[ItemID]]), Results[[#This Row],[ItemID]]=0, Results[[#This Row],[ItemID]]=""), "", VLOOKUP(Results[[#This Row],[ItemID]], Analysis[], COLUMN(Analysis[Constant Output (A)])-COLUMN(Analysis[])+1, FALSE))</f>
        <v>58.333333333333336</v>
      </c>
      <c r="E16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16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0.97222222222222221</v>
      </c>
      <c r="G16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7" spans="1:8" x14ac:dyDescent="0.25">
      <c r="A17" t="str">
        <f>IF(IFERROR(Analysis[[#This Row],[ItemID]], 0)=0, "", Analysis[[#This Row],[ItemID]])</f>
        <v>FrontLeft Motor</v>
      </c>
      <c r="B17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7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7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7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8" spans="1:8" x14ac:dyDescent="0.25">
      <c r="A18" t="str">
        <f>IF(IFERROR(Analysis[[#This Row],[ItemID]], 0)=0, "", Analysis[[#This Row],[ItemID]])</f>
        <v>MidLeft ESC</v>
      </c>
      <c r="B18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8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18" s="13">
        <f>IF(OR(ISBLANK(Results[[#This Row],[ItemID]]), Results[[#This Row],[ItemID]]=0, Results[[#This Row],[ItemID]]=""), "", VLOOKUP(Results[[#This Row],[ItemID]], Analysis[], COLUMN(Analysis[Constant Output (A)])-COLUMN(Analysis[])+1, FALSE))</f>
        <v>58.333333333333336</v>
      </c>
      <c r="E18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18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0.97222222222222221</v>
      </c>
      <c r="G18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19" spans="1:8" x14ac:dyDescent="0.25">
      <c r="A19" t="str">
        <f>IF(IFERROR(Analysis[[#This Row],[ItemID]], 0)=0, "", Analysis[[#This Row],[ItemID]])</f>
        <v>MidLeft Motor</v>
      </c>
      <c r="B1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19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9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9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0" spans="1:8" x14ac:dyDescent="0.25">
      <c r="A20" t="str">
        <f>IF(IFERROR(Analysis[[#This Row],[ItemID]], 0)=0, "", Analysis[[#This Row],[ItemID]])</f>
        <v>BackLeft ESC</v>
      </c>
      <c r="B20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0" s="13">
        <f>IF(OR(ISBLANK(Results[[#This Row],[ItemID]]), Results[[#This Row],[ItemID]]=0, Results[[#This Row],[ItemID]]=""), "", VLOOKUP(Results[[#This Row],[ItemID]], Analysis[], COLUMN(Analysis[Peak Output (A)])-COLUMN(Analysis[])+1, FALSE))</f>
        <v>85</v>
      </c>
      <c r="D20" s="13">
        <f>IF(OR(ISBLANK(Results[[#This Row],[ItemID]]), Results[[#This Row],[ItemID]]=0, Results[[#This Row],[ItemID]]=""), "", VLOOKUP(Results[[#This Row],[ItemID]], Analysis[], COLUMN(Analysis[Constant Output (A)])-COLUMN(Analysis[])+1, FALSE))</f>
        <v>58.333333333333336</v>
      </c>
      <c r="E20" s="6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1.4166666666666667</v>
      </c>
      <c r="F20" s="6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0.97222222222222221</v>
      </c>
      <c r="G20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1" spans="1:8" x14ac:dyDescent="0.25">
      <c r="A21" t="str">
        <f>IF(IFERROR(Analysis[[#This Row],[ItemID]], 0)=0, "", Analysis[[#This Row],[ItemID]])</f>
        <v>BackLeft Motor</v>
      </c>
      <c r="B21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1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1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1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1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1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2" spans="1:8" x14ac:dyDescent="0.25">
      <c r="A22" t="str">
        <f>IF(IFERROR(Analysis[[#This Row],[ItemID]], 0)=0, "", Analysis[[#This Row],[ItemID]])</f>
        <v>Shoulder Motor</v>
      </c>
      <c r="B22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2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2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2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2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2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3" spans="1:8" x14ac:dyDescent="0.25">
      <c r="A23" t="str">
        <f>IF(IFERROR(Analysis[[#This Row],[ItemID]], 0)=0, "", Analysis[[#This Row],[ItemID]])</f>
        <v>Base Motor</v>
      </c>
      <c r="B23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3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3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3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3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3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4" spans="1:8" x14ac:dyDescent="0.25">
      <c r="A24" t="str">
        <f>IF(IFERROR(Analysis[[#This Row],[ItemID]], 0)=0, "", Analysis[[#This Row],[ItemID]])</f>
        <v>Upper Limb Motor</v>
      </c>
      <c r="B24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4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5" spans="1:8" x14ac:dyDescent="0.25">
      <c r="A25" t="str">
        <f>IF(IFERROR(Analysis[[#This Row],[ItemID]], 0)=0, "", Analysis[[#This Row],[ItemID]])</f>
        <v/>
      </c>
      <c r="B25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5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5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5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5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5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6" spans="1:8" x14ac:dyDescent="0.25">
      <c r="A26" t="str">
        <f>IF(IFERROR(Analysis[[#This Row],[ItemID]], 0)=0, "", Analysis[[#This Row],[ItemID]])</f>
        <v/>
      </c>
      <c r="B26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6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7" spans="1:8" x14ac:dyDescent="0.25">
      <c r="A27" t="str">
        <f>IF(IFERROR(Analysis[[#This Row],[ItemID]], 0)=0, "", Analysis[[#This Row],[ItemID]])</f>
        <v/>
      </c>
      <c r="B27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7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7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7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7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7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8" spans="1:8" x14ac:dyDescent="0.25">
      <c r="A28" t="str">
        <f>IF(IFERROR(Analysis[[#This Row],[ItemID]], 0)=0, "", Analysis[[#This Row],[ItemID]])</f>
        <v/>
      </c>
      <c r="B28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8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29" spans="1:8" x14ac:dyDescent="0.25">
      <c r="A29" t="str">
        <f>IF(IFERROR(Analysis[[#This Row],[ItemID]], 0)=0, "", Analysis[[#This Row],[ItemID]])</f>
        <v/>
      </c>
      <c r="B2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9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  <row r="30" spans="1:8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0" s="13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3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6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6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12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5" t="str">
        <f>IF(OR(ISBLANK(Results[[#This Row],[ItemID]]), Results[[#This Row],[Constant Current Used]]="", Results[[#This Row],[Battery (mAh)]]=""), "", Results[[#This Row],[Battery (mAh)]]/Results[[#This Row],[Constant Current Used]])</f>
        <v/>
      </c>
    </row>
  </sheetData>
  <conditionalFormatting sqref="L3">
    <cfRule type="expression" dxfId="2" priority="2">
      <formula>INDIRECT(ADDRESS(ROW(), COLUMN()))="HOLD"</formula>
    </cfRule>
    <cfRule type="expression" dxfId="1" priority="4">
      <formula>INDIRECT(ADDRESS(ROW(), COLUMN()))="MAYBE"</formula>
    </cfRule>
    <cfRule type="expression" dxfId="0" priority="5">
      <formula>INDIRECT(ADDRESS(ROW(), COLUMN()))="GO"</formula>
    </cfRule>
  </conditionalFormatting>
  <conditionalFormatting sqref="E2:F30">
    <cfRule type="colorScale" priority="1">
      <colorScale>
        <cfvo type="num" val="0"/>
        <cfvo type="num" val="0.95"/>
        <cfvo type="num" val="1"/>
        <color rgb="FF00B050"/>
        <color theme="9" tint="0.39997558519241921"/>
        <color rgb="FFFF0000"/>
      </colorScale>
    </cfRule>
  </conditionalFormatting>
  <dataValidations count="2">
    <dataValidation type="list" allowBlank="1" showInputMessage="1" showErrorMessage="1" sqref="A2:A30 O2:O8">
      <formula1>ItemIDs</formula1>
    </dataValidation>
    <dataValidation allowBlank="1" showInputMessage="1" showErrorMessage="1" sqref="G2:G30"/>
  </dataValidation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J29" sqref="J29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59.85546875" customWidth="1"/>
    <col min="6" max="7" width="9.7109375" customWidth="1"/>
  </cols>
  <sheetData>
    <row r="1" spans="1:6" x14ac:dyDescent="0.25">
      <c r="A1" t="s">
        <v>69</v>
      </c>
      <c r="B1" t="s">
        <v>92</v>
      </c>
      <c r="C1" t="s">
        <v>70</v>
      </c>
      <c r="E1" s="8" t="s">
        <v>1</v>
      </c>
      <c r="F1" t="s">
        <v>72</v>
      </c>
    </row>
    <row r="2" spans="1:6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9"/>
      <c r="F2" s="1">
        <v>0</v>
      </c>
    </row>
    <row r="3" spans="1:6" x14ac:dyDescent="0.25">
      <c r="A3" t="str">
        <f>IF(OR(ISBLANK(Analysis[[#This Row],[ItemID]]), Analysis[[#This Row],[ItemID]]="", Analysis[[#This Row],[ItemID]]=0), "", Analysis[[#This Row],[ItemID]])</f>
        <v>Battery Pack</v>
      </c>
      <c r="B3" t="str">
        <f>IF(OR(ISBLANK(Costs[[#This Row],[Item]]), Costs[[#This Row],[Item]]="", Costs[[#This Row],[Item]]=0), "", VLOOKUP(Costs[[#This Row],[Item]], Items[], COLUMN(Items[Name])-COLUMN(Items[])+1, FALSE))</f>
        <v/>
      </c>
      <c r="C3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3" s="9" t="s">
        <v>61</v>
      </c>
      <c r="F3" s="1">
        <v>60</v>
      </c>
    </row>
    <row r="4" spans="1:6" x14ac:dyDescent="0.25">
      <c r="A4" t="str">
        <f>IF(OR(ISBLANK(Analysis[[#This Row],[ItemID]]), Analysis[[#This Row],[ItemID]]="", Analysis[[#This Row],[ItemID]]=0), "", Analysis[[#This Row],[ItemID]])</f>
        <v>Logic Supply</v>
      </c>
      <c r="B4" t="str">
        <f>IF(OR(ISBLANK(Costs[[#This Row],[Item]]), Costs[[#This Row],[Item]]="", Costs[[#This Row],[Item]]=0), "", VLOOKUP(Costs[[#This Row],[Item]], Items[], COLUMN(Items[Name])-COLUMN(Items[])+1, FALSE))</f>
        <v>Linear Voltage Regulator</v>
      </c>
      <c r="C4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4" s="9" t="s">
        <v>66</v>
      </c>
      <c r="F4" s="1">
        <v>100</v>
      </c>
    </row>
    <row r="5" spans="1:6" x14ac:dyDescent="0.25">
      <c r="A5" t="str">
        <f>IF(OR(ISBLANK(Analysis[[#This Row],[ItemID]]), Analysis[[#This Row],[ItemID]]="", Analysis[[#This Row],[ItemID]]=0), "", Analysis[[#This Row],[ItemID]])</f>
        <v>Master Control</v>
      </c>
      <c r="B5" t="str">
        <f>IF(OR(ISBLANK(Costs[[#This Row],[Item]]), Costs[[#This Row],[Item]]="", Costs[[#This Row],[Item]]=0), "", VLOOKUP(Costs[[#This Row],[Item]], Items[], COLUMN(Items[Name])-COLUMN(Items[])+1, FALSE))</f>
        <v>Raspberry Pi 3 Rev 1.2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30</v>
      </c>
      <c r="E5" s="9" t="s">
        <v>51</v>
      </c>
      <c r="F5" s="1">
        <v>150</v>
      </c>
    </row>
    <row r="6" spans="1:6" x14ac:dyDescent="0.25">
      <c r="A6" t="str">
        <f>IF(OR(ISBLANK(Analysis[[#This Row],[ItemID]]), Analysis[[#This Row],[ItemID]]="", Analysis[[#This Row],[ItemID]]=0), "", Analysis[[#This Row],[ItemID]])</f>
        <v>Comms Power</v>
      </c>
      <c r="B6" t="str">
        <f>IF(OR(ISBLANK(Costs[[#This Row],[Item]]), Costs[[#This Row],[Item]]="", Costs[[#This Row],[Item]]=0), "", VLOOKUP(Costs[[#This Row],[Item]], Items[], COLUMN(Items[Name])-COLUMN(Items[])+1, FALSE))</f>
        <v>Homemade POE injection</v>
      </c>
      <c r="C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6" s="9" t="s">
        <v>15</v>
      </c>
      <c r="F6" s="1">
        <v>43.5</v>
      </c>
    </row>
    <row r="7" spans="1:6" x14ac:dyDescent="0.25">
      <c r="A7" t="str">
        <f>IF(OR(ISBLANK(Analysis[[#This Row],[ItemID]]), Analysis[[#This Row],[ItemID]]="", Analysis[[#This Row],[ItemID]]=0), "", Analysis[[#This Row],[ItemID]])</f>
        <v>Transceiver</v>
      </c>
      <c r="B7" t="str">
        <f>IF(OR(ISBLANK(Costs[[#This Row],[Item]]), Costs[[#This Row],[Item]]="", Costs[[#This Row],[Item]]=0), "", VLOOKUP(Costs[[#This Row],[Item]], Items[], COLUMN(Items[Name])-COLUMN(Items[])+1, FALSE))</f>
        <v>Ubiquity Rocket M3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7" s="9" t="s">
        <v>46</v>
      </c>
      <c r="F7" s="1">
        <v>0</v>
      </c>
    </row>
    <row r="8" spans="1:6" x14ac:dyDescent="0.25">
      <c r="A8" s="1" t="str">
        <f>IF(OR(ISBLANK(Analysis[[#This Row],[ItemID]]), Analysis[[#This Row],[ItemID]]="", Analysis[[#This Row],[ItemID]]=0), "", Analysis[[#This Row],[ItemID]])</f>
        <v>Antenna</v>
      </c>
      <c r="B8" s="1" t="str">
        <f>IF(OR(ISBLANK(Costs[[#This Row],[Item]]), Costs[[#This Row],[Item]]="", Costs[[#This Row],[Item]]=0), "", VLOOKUP(Costs[[#This Row],[Item]], Items[], COLUMN(Items[Name])-COLUMN(Items[])+1, FALSE))</f>
        <v>AMO-3G12 - Ubiquiti Antenna 3.4-3.7 GHz 12dBi Omni-directional</v>
      </c>
      <c r="C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150</v>
      </c>
      <c r="E8" s="9" t="s">
        <v>31</v>
      </c>
      <c r="F8" s="1">
        <v>0</v>
      </c>
    </row>
    <row r="9" spans="1:6" x14ac:dyDescent="0.25">
      <c r="A9" s="1" t="str">
        <f>IF(OR(ISBLANK(Analysis[[#This Row],[ItemID]]), Analysis[[#This Row],[ItemID]]="", Analysis[[#This Row],[ItemID]]=0), "", Analysis[[#This Row],[ItemID]])</f>
        <v>Dirty Power</v>
      </c>
      <c r="B9" s="1" t="str">
        <f>IF(OR(ISBLANK(Costs[[#This Row],[Item]]), Costs[[#This Row],[Item]]="", Costs[[#This Row],[Item]]=0), "", VLOOKUP(Costs[[#This Row],[Item]], Items[], COLUMN(Items[Name])-COLUMN(Items[])+1, FALSE))</f>
        <v>Linear Voltage Regulator</v>
      </c>
      <c r="C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9" s="9" t="s">
        <v>34</v>
      </c>
      <c r="F9" s="1">
        <v>30</v>
      </c>
    </row>
    <row r="10" spans="1:6" x14ac:dyDescent="0.25">
      <c r="A10" s="1" t="str">
        <f>IF(OR(ISBLANK(Analysis[[#This Row],[ItemID]]), Analysis[[#This Row],[ItemID]]="", Analysis[[#This Row],[ItemID]]=0), "", Analysis[[#This Row],[ItemID]])</f>
        <v>FrontRight ESC</v>
      </c>
      <c r="B10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  <c r="E10" s="9" t="s">
        <v>59</v>
      </c>
      <c r="F10" s="1">
        <v>180</v>
      </c>
    </row>
    <row r="11" spans="1:6" x14ac:dyDescent="0.25">
      <c r="A11" s="1" t="str">
        <f>IF(OR(ISBLANK(Analysis[[#This Row],[ItemID]]), Analysis[[#This Row],[ItemID]]="", Analysis[[#This Row],[ItemID]]=0), "", Analysis[[#This Row],[ItemID]])</f>
        <v>FrontRight Motor</v>
      </c>
      <c r="B11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1" s="9" t="s">
        <v>6</v>
      </c>
      <c r="F11" s="1">
        <v>360</v>
      </c>
    </row>
    <row r="12" spans="1:6" x14ac:dyDescent="0.25">
      <c r="A12" s="1" t="str">
        <f>IF(OR(ISBLANK(Analysis[[#This Row],[ItemID]]), Analysis[[#This Row],[ItemID]]="", Analysis[[#This Row],[ItemID]]=0), "", Analysis[[#This Row],[ItemID]])</f>
        <v>MidRight ESC</v>
      </c>
      <c r="B12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  <c r="E12" s="9" t="s">
        <v>71</v>
      </c>
      <c r="F12" s="1">
        <v>923.5</v>
      </c>
    </row>
    <row r="13" spans="1:6" x14ac:dyDescent="0.25">
      <c r="A13" s="1" t="str">
        <f>IF(OR(ISBLANK(Analysis[[#This Row],[ItemID]]), Analysis[[#This Row],[ItemID]]="", Analysis[[#This Row],[ItemID]]=0), "", Analysis[[#This Row],[ItemID]])</f>
        <v>MidRight Motor</v>
      </c>
      <c r="B13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4" spans="1:6" x14ac:dyDescent="0.25">
      <c r="A14" s="1" t="str">
        <f>IF(OR(ISBLANK(Analysis[[#This Row],[ItemID]]), Analysis[[#This Row],[ItemID]]="", Analysis[[#This Row],[ItemID]]=0), "", Analysis[[#This Row],[ItemID]])</f>
        <v>BackRight ESC</v>
      </c>
      <c r="B14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15" spans="1:6" x14ac:dyDescent="0.25">
      <c r="A15" s="1" t="str">
        <f>IF(OR(ISBLANK(Analysis[[#This Row],[ItemID]]), Analysis[[#This Row],[ItemID]]="", Analysis[[#This Row],[ItemID]]=0), "", Analysis[[#This Row],[ItemID]])</f>
        <v>BackRight Motor</v>
      </c>
      <c r="B15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6" spans="1:6" x14ac:dyDescent="0.25">
      <c r="A16" s="1" t="str">
        <f>IF(OR(ISBLANK(Analysis[[#This Row],[ItemID]]), Analysis[[#This Row],[ItemID]]="", Analysis[[#This Row],[ItemID]]=0), "", Analysis[[#This Row],[ItemID]])</f>
        <v>FrontLeft ESC</v>
      </c>
      <c r="B16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FrontLeft Motor</v>
      </c>
      <c r="B17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MidLeft ESC</v>
      </c>
      <c r="B18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MidLeft Motor</v>
      </c>
      <c r="B19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BackLeft ESC</v>
      </c>
      <c r="B20" s="1" t="str">
        <f>IF(OR(ISBLANK(Costs[[#This Row],[Item]]), Costs[[#This Row],[Item]]="", Costs[[#This Row],[Item]]=0), "", VLOOKUP(Costs[[#This Row],[Item]], Items[], COLUMN(Items[Name])-COLUMN(Items[])+1, FALSE))</f>
        <v>Victor SP DC Motor Driver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BackLeft Motor</v>
      </c>
      <c r="B21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Shoulder Motor</v>
      </c>
      <c r="B22" s="1" t="str">
        <f>IF(OR(ISBLANK(Costs[[#This Row],[Item]]), Costs[[#This Row],[Item]]="", Costs[[#This Row],[Item]]=0), "", VLOOKUP(Costs[[#This Row],[Item]], Items[], COLUMN(Items[Name])-COLUMN(Items[])+1, FALSE))</f>
        <v>12 RPM HD Premium Planetary Gear Motor w/Encoder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Base Motor</v>
      </c>
      <c r="B23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Upper Limb Motor</v>
      </c>
      <c r="B24" s="1" t="str">
        <f>IF(OR(ISBLANK(Costs[[#This Row],[Item]]), Costs[[#This Row],[Item]]="", Costs[[#This Row],[Item]]=0), "", VLOOKUP(Costs[[#This Row],[Item]], Items[], COLUMN(Items[Name])-COLUMN(Items[])+1, FALSE))</f>
        <v>26 RPM Premium Planetary Gear Motor w/Encoder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50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/>
      </c>
      <c r="B25" s="1" t="str">
        <f>IF(OR(ISBLANK(Costs[[#This Row],[Item]]), Costs[[#This Row],[Item]]="", Costs[[#This Row],[Item]]=0), "", VLOOKUP(Costs[[#This Row],[Item]], Items[], COLUMN(Items[Name])-COLUMN(Items[])+1, FALSE))</f>
        <v/>
      </c>
      <c r="C25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/>
      </c>
      <c r="B26" s="1" t="str">
        <f>IF(OR(ISBLANK(Costs[[#This Row],[Item]]), Costs[[#This Row],[Item]]="", Costs[[#This Row],[Item]]=0), "", VLOOKUP(Costs[[#This Row],[Item]], Items[], COLUMN(Items[Name])-COLUMN(Items[])+1, FALSE))</f>
        <v/>
      </c>
      <c r="C2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/>
      </c>
      <c r="B27" s="1" t="str">
        <f>IF(OR(ISBLANK(Costs[[#This Row],[Item]]), Costs[[#This Row],[Item]]="", Costs[[#This Row],[Item]]=0), "", VLOOKUP(Costs[[#This Row],[Item]], Items[], COLUMN(Items[Name])-COLUMN(Items[])+1, FALSE))</f>
        <v/>
      </c>
      <c r="C27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/>
      </c>
      <c r="B28" s="1" t="str">
        <f>IF(OR(ISBLANK(Costs[[#This Row],[Item]]), Costs[[#This Row],[Item]]="", Costs[[#This Row],[Item]]=0), "", VLOOKUP(Costs[[#This Row],[Item]], Items[], COLUMN(Items[Name])-COLUMN(Items[])+1, FALSE))</f>
        <v/>
      </c>
      <c r="C2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/>
      </c>
      <c r="B29" s="1" t="str">
        <f>IF(OR(ISBLANK(Costs[[#This Row],[Item]]), Costs[[#This Row],[Item]]="", Costs[[#This Row],[Item]]=0), "", VLOOKUP(Costs[[#This Row],[Item]], Items[], COLUMN(Items[Name])-COLUMN(Items[])+1, FALSE))</f>
        <v/>
      </c>
      <c r="C2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/>
      </c>
      <c r="B30" s="1" t="str">
        <f>IF(OR(ISBLANK(Costs[[#This Row],[Item]]), Costs[[#This Row],[Item]]="", Costs[[#This Row],[Item]]=0), "", VLOOKUP(Costs[[#This Row],[Item]], Items[], COLUMN(Items[Name])-COLUMN(Items[])+1, FALSE))</f>
        <v/>
      </c>
      <c r="C3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Component Data</vt:lpstr>
      <vt:lpstr>Items</vt:lpstr>
      <vt:lpstr>Analysis</vt:lpstr>
      <vt:lpstr>Results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Talbert, James</cp:lastModifiedBy>
  <dcterms:created xsi:type="dcterms:W3CDTF">2017-07-13T19:20:27Z</dcterms:created>
  <dcterms:modified xsi:type="dcterms:W3CDTF">2017-08-08T20:19:58Z</dcterms:modified>
</cp:coreProperties>
</file>