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talbert\MAVRIC-Electrical\Electrical\"/>
    </mc:Choice>
  </mc:AlternateContent>
  <bookViews>
    <workbookView xWindow="7950" yWindow="0" windowWidth="18825" windowHeight="4845"/>
  </bookViews>
  <sheets>
    <sheet name="Component Data" sheetId="1" r:id="rId1"/>
    <sheet name="Analysis" sheetId="4" r:id="rId2"/>
    <sheet name="Results" sheetId="5" r:id="rId3"/>
    <sheet name="Costs" sheetId="6" r:id="rId4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52511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P24" i="4"/>
  <c r="P25" i="4"/>
  <c r="P26" i="4"/>
  <c r="P27" i="4"/>
  <c r="P28" i="4"/>
  <c r="P29" i="4"/>
  <c r="P30" i="4"/>
  <c r="O4" i="4"/>
  <c r="O7" i="4"/>
  <c r="O10" i="4"/>
  <c r="O12" i="4"/>
  <c r="O14" i="4"/>
  <c r="O16" i="4"/>
  <c r="O18" i="4"/>
  <c r="O20" i="4"/>
  <c r="O21" i="4"/>
  <c r="O22" i="4"/>
  <c r="O23" i="4"/>
  <c r="O24" i="4"/>
  <c r="O25" i="4"/>
  <c r="O26" i="4"/>
  <c r="O27" i="4"/>
  <c r="O28" i="4"/>
  <c r="O29" i="4"/>
  <c r="O3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A2" i="6"/>
  <c r="A3" i="6"/>
  <c r="A4" i="6"/>
  <c r="A5" i="6"/>
  <c r="B5" i="6" s="1"/>
  <c r="C5" i="6" s="1"/>
  <c r="A6" i="6"/>
  <c r="A7" i="6"/>
  <c r="A8" i="6"/>
  <c r="A9" i="6"/>
  <c r="B9" i="6" s="1"/>
  <c r="C9" i="6" s="1"/>
  <c r="A10" i="6"/>
  <c r="A11" i="6"/>
  <c r="A12" i="6"/>
  <c r="B12" i="6" s="1"/>
  <c r="A13" i="6"/>
  <c r="B13" i="6" s="1"/>
  <c r="C13" i="6" s="1"/>
  <c r="A14" i="6"/>
  <c r="A15" i="6"/>
  <c r="A16" i="6"/>
  <c r="B16" i="6" s="1"/>
  <c r="A17" i="6"/>
  <c r="B17" i="6" s="1"/>
  <c r="C17" i="6" s="1"/>
  <c r="A18" i="6"/>
  <c r="A19" i="6"/>
  <c r="A20" i="6"/>
  <c r="A21" i="6"/>
  <c r="B21" i="6" s="1"/>
  <c r="C21" i="6" s="1"/>
  <c r="A22" i="6"/>
  <c r="A23" i="6"/>
  <c r="A24" i="6"/>
  <c r="A25" i="6"/>
  <c r="B25" i="6" s="1"/>
  <c r="C25" i="6" s="1"/>
  <c r="A26" i="6"/>
  <c r="A27" i="6"/>
  <c r="A28" i="6"/>
  <c r="B28" i="6" s="1"/>
  <c r="A29" i="6"/>
  <c r="B29" i="6" s="1"/>
  <c r="C29" i="6" s="1"/>
  <c r="A30" i="6"/>
  <c r="O6" i="5"/>
  <c r="O7" i="5"/>
  <c r="O8" i="5"/>
  <c r="N6" i="5"/>
  <c r="N7" i="5"/>
  <c r="N8" i="5"/>
  <c r="M6" i="5"/>
  <c r="M7" i="5"/>
  <c r="M8" i="5"/>
  <c r="D29" i="4"/>
  <c r="D30" i="4"/>
  <c r="E29" i="4"/>
  <c r="G29" i="4" s="1"/>
  <c r="E30" i="4"/>
  <c r="G30" i="4" s="1"/>
  <c r="F29" i="4"/>
  <c r="H29" i="4" s="1"/>
  <c r="F30" i="4"/>
  <c r="H30" i="4" s="1"/>
  <c r="K29" i="4"/>
  <c r="K30" i="4"/>
  <c r="L29" i="4"/>
  <c r="L30" i="4"/>
  <c r="M29" i="4"/>
  <c r="M30" i="4"/>
  <c r="D25" i="4"/>
  <c r="D26" i="4"/>
  <c r="D27" i="4"/>
  <c r="D28" i="4"/>
  <c r="E25" i="4"/>
  <c r="G25" i="4" s="1"/>
  <c r="E26" i="4"/>
  <c r="G26" i="4" s="1"/>
  <c r="E27" i="4"/>
  <c r="G27" i="4" s="1"/>
  <c r="E28" i="4"/>
  <c r="G28" i="4" s="1"/>
  <c r="F25" i="4"/>
  <c r="H25" i="4" s="1"/>
  <c r="F26" i="4"/>
  <c r="H26" i="4" s="1"/>
  <c r="F27" i="4"/>
  <c r="H27" i="4" s="1"/>
  <c r="F28" i="4"/>
  <c r="H28" i="4" s="1"/>
  <c r="K25" i="4"/>
  <c r="K26" i="4"/>
  <c r="K27" i="4"/>
  <c r="K28" i="4"/>
  <c r="L25" i="4"/>
  <c r="L26" i="4"/>
  <c r="L27" i="4"/>
  <c r="L28" i="4"/>
  <c r="M25" i="4"/>
  <c r="M26" i="4"/>
  <c r="M27" i="4"/>
  <c r="M28" i="4"/>
  <c r="M24" i="4"/>
  <c r="L7" i="4"/>
  <c r="L4" i="4"/>
  <c r="L10" i="4"/>
  <c r="L12" i="4"/>
  <c r="L14" i="4"/>
  <c r="L16" i="4"/>
  <c r="L18" i="4"/>
  <c r="L20" i="4"/>
  <c r="L21" i="4"/>
  <c r="L22" i="4"/>
  <c r="L23" i="4"/>
  <c r="L24" i="4"/>
  <c r="K2" i="4"/>
  <c r="K3" i="4"/>
  <c r="K5" i="4"/>
  <c r="K6" i="4"/>
  <c r="K7" i="4"/>
  <c r="K8" i="4"/>
  <c r="K4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F2" i="4"/>
  <c r="M2" i="5" s="1"/>
  <c r="F3" i="4"/>
  <c r="M4" i="5" s="1"/>
  <c r="F5" i="4"/>
  <c r="M3" i="5" s="1"/>
  <c r="F6" i="4"/>
  <c r="F7" i="4"/>
  <c r="H7" i="4" s="1"/>
  <c r="F8" i="4"/>
  <c r="M5" i="5" s="1"/>
  <c r="F4" i="4"/>
  <c r="F9" i="4"/>
  <c r="F10" i="4"/>
  <c r="H10" i="4" s="1"/>
  <c r="F11" i="4"/>
  <c r="F12" i="4"/>
  <c r="H12" i="4" s="1"/>
  <c r="F13" i="4"/>
  <c r="F14" i="4"/>
  <c r="H14" i="4" s="1"/>
  <c r="F15" i="4"/>
  <c r="F16" i="4"/>
  <c r="H16" i="4" s="1"/>
  <c r="F17" i="4"/>
  <c r="F18" i="4"/>
  <c r="H18" i="4" s="1"/>
  <c r="F19" i="4"/>
  <c r="F20" i="4"/>
  <c r="H20" i="4" s="1"/>
  <c r="F21" i="4"/>
  <c r="H21" i="4" s="1"/>
  <c r="F22" i="4"/>
  <c r="H22" i="4" s="1"/>
  <c r="F23" i="4"/>
  <c r="H23" i="4" s="1"/>
  <c r="F24" i="4"/>
  <c r="H24" i="4" s="1"/>
  <c r="D23" i="4"/>
  <c r="E23" i="4" s="1"/>
  <c r="I23" i="4" s="1"/>
  <c r="D24" i="4"/>
  <c r="E24" i="4"/>
  <c r="G24" i="4" s="1"/>
  <c r="E2" i="4"/>
  <c r="G2" i="4" s="1"/>
  <c r="A3" i="5"/>
  <c r="A4" i="5"/>
  <c r="B4" i="5" s="1"/>
  <c r="A5" i="5"/>
  <c r="A6" i="5"/>
  <c r="A7" i="5"/>
  <c r="B7" i="5" s="1"/>
  <c r="A8" i="5"/>
  <c r="B8" i="5" s="1"/>
  <c r="A9" i="5"/>
  <c r="A10" i="5"/>
  <c r="A11" i="5"/>
  <c r="A12" i="5"/>
  <c r="B12" i="5" s="1"/>
  <c r="A13" i="5"/>
  <c r="A14" i="5"/>
  <c r="A15" i="5"/>
  <c r="A16" i="5"/>
  <c r="B16" i="5" s="1"/>
  <c r="A17" i="5"/>
  <c r="A18" i="5"/>
  <c r="A19" i="5"/>
  <c r="B19" i="5" s="1"/>
  <c r="A20" i="5"/>
  <c r="B20" i="5" s="1"/>
  <c r="A21" i="5"/>
  <c r="A22" i="5"/>
  <c r="A23" i="5"/>
  <c r="A24" i="5"/>
  <c r="B24" i="5" s="1"/>
  <c r="A25" i="5"/>
  <c r="C25" i="5" s="1"/>
  <c r="A26" i="5"/>
  <c r="E26" i="5" s="1"/>
  <c r="A27" i="5"/>
  <c r="E27" i="5" s="1"/>
  <c r="A28" i="5"/>
  <c r="B28" i="5" s="1"/>
  <c r="A29" i="5"/>
  <c r="C29" i="5" s="1"/>
  <c r="A30" i="5"/>
  <c r="E30" i="5" s="1"/>
  <c r="A2" i="5"/>
  <c r="D7" i="4"/>
  <c r="E7" i="4" s="1"/>
  <c r="I7" i="4" s="1"/>
  <c r="D5" i="4"/>
  <c r="E5" i="4" s="1"/>
  <c r="I5" i="4" s="1"/>
  <c r="D6" i="4"/>
  <c r="E6" i="4" s="1"/>
  <c r="I6" i="4" s="1"/>
  <c r="D27" i="5" l="1"/>
  <c r="D19" i="5"/>
  <c r="D7" i="5"/>
  <c r="E28" i="5"/>
  <c r="E24" i="5"/>
  <c r="E20" i="5"/>
  <c r="E16" i="5"/>
  <c r="E12" i="5"/>
  <c r="E8" i="5"/>
  <c r="E4" i="5"/>
  <c r="D30" i="5"/>
  <c r="D26" i="5"/>
  <c r="E19" i="5"/>
  <c r="E7" i="5"/>
  <c r="D29" i="5"/>
  <c r="D25" i="5"/>
  <c r="D28" i="5"/>
  <c r="D24" i="5"/>
  <c r="D20" i="5"/>
  <c r="D16" i="5"/>
  <c r="D12" i="5"/>
  <c r="D8" i="5"/>
  <c r="D4" i="5"/>
  <c r="E29" i="5"/>
  <c r="E25" i="5"/>
  <c r="I29" i="4"/>
  <c r="I28" i="4"/>
  <c r="I25" i="4"/>
  <c r="I24" i="4"/>
  <c r="I27" i="4"/>
  <c r="I30" i="4"/>
  <c r="I26" i="4"/>
  <c r="I2" i="4"/>
  <c r="P20" i="4"/>
  <c r="O19" i="4" s="1"/>
  <c r="P19" i="4" s="1"/>
  <c r="P12" i="4"/>
  <c r="O11" i="4" s="1"/>
  <c r="P11" i="4" s="1"/>
  <c r="P23" i="4"/>
  <c r="P18" i="4"/>
  <c r="O17" i="4" s="1"/>
  <c r="P17" i="4" s="1"/>
  <c r="P10" i="4"/>
  <c r="O9" i="4" s="1"/>
  <c r="P9" i="4" s="1"/>
  <c r="P22" i="4"/>
  <c r="P16" i="4"/>
  <c r="O15" i="4" s="1"/>
  <c r="P15" i="4" s="1"/>
  <c r="P7" i="4"/>
  <c r="O6" i="4" s="1"/>
  <c r="P6" i="4" s="1"/>
  <c r="O5" i="4" s="1"/>
  <c r="P5" i="4" s="1"/>
  <c r="P21" i="4"/>
  <c r="P14" i="4"/>
  <c r="O13" i="4" s="1"/>
  <c r="P13" i="4" s="1"/>
  <c r="O8" i="4" s="1"/>
  <c r="P8" i="4" s="1"/>
  <c r="O2" i="4" s="1"/>
  <c r="P2" i="4" s="1"/>
  <c r="P4" i="4"/>
  <c r="O3" i="4" s="1"/>
  <c r="P3" i="4" s="1"/>
  <c r="M23" i="4"/>
  <c r="G23" i="4" s="1"/>
  <c r="C28" i="6"/>
  <c r="C16" i="6"/>
  <c r="C12" i="6"/>
  <c r="B24" i="6"/>
  <c r="C24" i="6" s="1"/>
  <c r="B8" i="6"/>
  <c r="C8" i="6" s="1"/>
  <c r="B20" i="6"/>
  <c r="C20" i="6" s="1"/>
  <c r="B4" i="6"/>
  <c r="C4" i="6" s="1"/>
  <c r="B27" i="6"/>
  <c r="C27" i="6" s="1"/>
  <c r="B23" i="6"/>
  <c r="C23" i="6" s="1"/>
  <c r="B19" i="6"/>
  <c r="C19" i="6" s="1"/>
  <c r="B15" i="6"/>
  <c r="C15" i="6" s="1"/>
  <c r="B11" i="6"/>
  <c r="C11" i="6" s="1"/>
  <c r="B7" i="6"/>
  <c r="C7" i="6" s="1"/>
  <c r="B3" i="6"/>
  <c r="C3" i="6" s="1"/>
  <c r="B30" i="6"/>
  <c r="C30" i="6" s="1"/>
  <c r="B26" i="6"/>
  <c r="C26" i="6" s="1"/>
  <c r="B22" i="6"/>
  <c r="C22" i="6" s="1"/>
  <c r="B18" i="6"/>
  <c r="C18" i="6" s="1"/>
  <c r="B14" i="6"/>
  <c r="C14" i="6" s="1"/>
  <c r="B10" i="6"/>
  <c r="C10" i="6" s="1"/>
  <c r="B6" i="6"/>
  <c r="C6" i="6" s="1"/>
  <c r="B2" i="6"/>
  <c r="C2" i="6" s="1"/>
  <c r="M22" i="4"/>
  <c r="M21" i="4"/>
  <c r="C26" i="5"/>
  <c r="C30" i="5"/>
  <c r="C28" i="5"/>
  <c r="C24" i="5"/>
  <c r="C20" i="5"/>
  <c r="C16" i="5"/>
  <c r="C12" i="5"/>
  <c r="C27" i="5"/>
  <c r="C7" i="5"/>
  <c r="H4" i="4"/>
  <c r="C4" i="5" s="1"/>
  <c r="M16" i="4"/>
  <c r="M4" i="4"/>
  <c r="M14" i="4"/>
  <c r="M7" i="4"/>
  <c r="M20" i="4"/>
  <c r="M12" i="4"/>
  <c r="M18" i="4"/>
  <c r="M10" i="4"/>
  <c r="B23" i="5"/>
  <c r="D23" i="5" s="1"/>
  <c r="B11" i="5"/>
  <c r="E11" i="5" s="1"/>
  <c r="B3" i="5"/>
  <c r="E3" i="5" s="1"/>
  <c r="B30" i="5"/>
  <c r="B26" i="5"/>
  <c r="B22" i="5"/>
  <c r="E22" i="5" s="1"/>
  <c r="B18" i="5"/>
  <c r="C18" i="5" s="1"/>
  <c r="B14" i="5"/>
  <c r="C14" i="5" s="1"/>
  <c r="B10" i="5"/>
  <c r="C10" i="5" s="1"/>
  <c r="B6" i="5"/>
  <c r="E6" i="5" s="1"/>
  <c r="B2" i="5"/>
  <c r="E2" i="5" s="1"/>
  <c r="B27" i="5"/>
  <c r="B15" i="5"/>
  <c r="E15" i="5" s="1"/>
  <c r="B29" i="5"/>
  <c r="B25" i="5"/>
  <c r="B21" i="5"/>
  <c r="C21" i="5" s="1"/>
  <c r="B17" i="5"/>
  <c r="D17" i="5" s="1"/>
  <c r="B13" i="5"/>
  <c r="E13" i="5" s="1"/>
  <c r="B9" i="5"/>
  <c r="E9" i="5" s="1"/>
  <c r="B5" i="5"/>
  <c r="E5" i="5" s="1"/>
  <c r="D13" i="5" l="1"/>
  <c r="D6" i="5"/>
  <c r="D22" i="5"/>
  <c r="D11" i="5"/>
  <c r="E21" i="5"/>
  <c r="E17" i="5"/>
  <c r="E10" i="5"/>
  <c r="D10" i="5"/>
  <c r="D15" i="5"/>
  <c r="E23" i="5"/>
  <c r="E18" i="5"/>
  <c r="E14" i="5"/>
  <c r="D5" i="5"/>
  <c r="D21" i="5"/>
  <c r="D14" i="5"/>
  <c r="D3" i="5"/>
  <c r="D9" i="5"/>
  <c r="D2" i="5"/>
  <c r="D18" i="5"/>
  <c r="L11" i="4"/>
  <c r="L15" i="4"/>
  <c r="L9" i="4"/>
  <c r="L6" i="4"/>
  <c r="L3" i="4"/>
  <c r="L17" i="4"/>
  <c r="L13" i="4"/>
  <c r="C23" i="5"/>
  <c r="C22" i="5"/>
  <c r="L19" i="4"/>
  <c r="H6" i="4"/>
  <c r="C6" i="5" s="1"/>
  <c r="G7" i="4"/>
  <c r="D22" i="4"/>
  <c r="E22" i="4" s="1"/>
  <c r="I22" i="4" s="1"/>
  <c r="D21" i="4"/>
  <c r="E21" i="4" s="1"/>
  <c r="I21" i="4" s="1"/>
  <c r="D8" i="4"/>
  <c r="E8" i="4" s="1"/>
  <c r="I8" i="4" s="1"/>
  <c r="D9" i="4"/>
  <c r="E9" i="4" s="1"/>
  <c r="I9" i="4" s="1"/>
  <c r="D11" i="4"/>
  <c r="E11" i="4" s="1"/>
  <c r="I11" i="4" s="1"/>
  <c r="D13" i="4"/>
  <c r="E13" i="4" s="1"/>
  <c r="I13" i="4" s="1"/>
  <c r="D15" i="4"/>
  <c r="E15" i="4" s="1"/>
  <c r="I15" i="4" s="1"/>
  <c r="D17" i="4"/>
  <c r="E17" i="4" s="1"/>
  <c r="I17" i="4" s="1"/>
  <c r="D19" i="4"/>
  <c r="E19" i="4" s="1"/>
  <c r="I19" i="4" s="1"/>
  <c r="D2" i="4"/>
  <c r="D10" i="4"/>
  <c r="E10" i="4" s="1"/>
  <c r="I10" i="4" s="1"/>
  <c r="D12" i="4"/>
  <c r="E12" i="4" s="1"/>
  <c r="I12" i="4" s="1"/>
  <c r="D14" i="4"/>
  <c r="E14" i="4" s="1"/>
  <c r="I14" i="4" s="1"/>
  <c r="D16" i="4"/>
  <c r="E16" i="4" s="1"/>
  <c r="I16" i="4" s="1"/>
  <c r="D18" i="4"/>
  <c r="E18" i="4" s="1"/>
  <c r="I18" i="4" s="1"/>
  <c r="D20" i="4"/>
  <c r="E20" i="4" s="1"/>
  <c r="I20" i="4" s="1"/>
  <c r="D3" i="4"/>
  <c r="E3" i="4" s="1"/>
  <c r="I3" i="4" s="1"/>
  <c r="D4" i="4"/>
  <c r="E4" i="4" s="1"/>
  <c r="I4" i="4" s="1"/>
  <c r="I4" i="5" l="1"/>
  <c r="G22" i="4"/>
  <c r="G21" i="4"/>
  <c r="M17" i="4"/>
  <c r="M6" i="4"/>
  <c r="M15" i="4"/>
  <c r="M19" i="4"/>
  <c r="M13" i="4"/>
  <c r="M3" i="4"/>
  <c r="M9" i="4"/>
  <c r="M11" i="4"/>
  <c r="G6" i="4"/>
  <c r="L5" i="4" l="1"/>
  <c r="M5" i="4" l="1"/>
  <c r="G5" i="4" s="1"/>
  <c r="H5" i="4"/>
  <c r="G10" i="4"/>
  <c r="G14" i="4"/>
  <c r="G16" i="4"/>
  <c r="G4" i="4"/>
  <c r="H3" i="4"/>
  <c r="G20" i="4"/>
  <c r="G12" i="4"/>
  <c r="G18" i="4"/>
  <c r="C5" i="5" l="1"/>
  <c r="N3" i="5"/>
  <c r="O3" i="5" s="1"/>
  <c r="N4" i="5"/>
  <c r="O4" i="5" s="1"/>
  <c r="C3" i="5"/>
  <c r="G17" i="4"/>
  <c r="H17" i="4"/>
  <c r="H15" i="4"/>
  <c r="H11" i="4"/>
  <c r="H13" i="4"/>
  <c r="G19" i="4"/>
  <c r="H19" i="4"/>
  <c r="H9" i="4"/>
  <c r="L8" i="4"/>
  <c r="G13" i="4"/>
  <c r="G11" i="4"/>
  <c r="G15" i="4"/>
  <c r="C17" i="5" l="1"/>
  <c r="C11" i="5"/>
  <c r="C9" i="5"/>
  <c r="C19" i="5"/>
  <c r="C15" i="5"/>
  <c r="C13" i="5"/>
  <c r="M8" i="4"/>
  <c r="G3" i="4"/>
  <c r="G9" i="4"/>
  <c r="L2" i="4" l="1"/>
  <c r="H8" i="4"/>
  <c r="C8" i="5" l="1"/>
  <c r="N5" i="5"/>
  <c r="O5" i="5" s="1"/>
  <c r="H2" i="4"/>
  <c r="M2" i="4"/>
  <c r="G8" i="4"/>
  <c r="C2" i="5" l="1"/>
  <c r="N2" i="5"/>
  <c r="O2" i="5" s="1"/>
</calcChain>
</file>

<file path=xl/sharedStrings.xml><?xml version="1.0" encoding="utf-8"?>
<sst xmlns="http://schemas.openxmlformats.org/spreadsheetml/2006/main" count="157" uniqueCount="92">
  <si>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</si>
  <si>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</si>
  <si>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</si>
  <si>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</si>
  <si>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</si>
  <si>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</si>
  <si>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</si>
  <si>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</si>
  <si>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</si>
  <si>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</si>
  <si>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</si>
  <si>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ComponentID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</si>
  <si>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</si>
  <si>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</si>
  <si>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</si>
  <si>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</si>
  <si>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</si>
  <si>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</si>
  <si>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</si>
  <si>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</si>
  <si>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</si>
  <si>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</si>
  <si>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</si>
  <si>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</si>
  <si>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</si>
  <si>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</si>
  <si>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</si>
  <si>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</si>
  <si>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</si>
  <si>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</si>
  <si>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</si>
  <si>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</si>
  <si>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Linear Regulator</t>
  </si>
  <si>
    <t>5V Regulator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</si>
  <si>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</si>
  <si>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</si>
  <si>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</si>
  <si>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</si>
  <si>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</si>
  <si>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</si>
  <si>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</si>
  <si>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</si>
  <si>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12V Regulator</t>
  </si>
  <si>
    <t>Dirty Power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</si>
  <si>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</si>
  <si>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</si>
  <si>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</si>
  <si>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</si>
  <si>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</si>
  <si>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</si>
  <si>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</si>
  <si>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</si>
  <si>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</si>
  <si>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</si>
  <si>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</si>
  <si>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</si>
  <si>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</si>
  <si>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</si>
  <si>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</si>
  <si>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Current (W)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</si>
  <si>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</si>
  <si>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</si>
  <si>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</si>
  <si>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</si>
  <si>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</si>
  <si>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</si>
  <si>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</si>
  <si>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</si>
  <si>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</si>
  <si>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</si>
  <si>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</si>
  <si>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Upper Limb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</si>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</sst>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9" formatCode="0.0"/>
    <numFmt numFmtId="170" formatCode="#,##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70" fontId="1" fillId="0" borderId="0" xfId="0" applyNumberFormat="1" applyFont="1"/>
    <xf numFmtId="170" fontId="0" fillId="0" borderId="0" xfId="0" applyNumberFormat="1" applyFont="1"/>
  </cellXfs>
  <cellStyles count="1">
    <cellStyle name="Normal" xfId="0" builtinId="0"/>
  </cellStyles>
  <dxfs count="43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14" formatCode="0.00%"/>
    </dxf>
    <dxf>
      <numFmt numFmtId="169" formatCode="0.0"/>
    </dxf>
    <dxf>
      <numFmt numFmtId="169" formatCode="0.0"/>
    </dxf>
    <dxf>
      <numFmt numFmtId="0" formatCode="General"/>
    </dxf>
    <dxf>
      <numFmt numFmtId="169" formatCode="0.0"/>
    </dxf>
    <dxf>
      <numFmt numFmtId="169" formatCode="0.0"/>
    </dxf>
    <dxf>
      <numFmt numFmtId="169" formatCode="0.0"/>
    </dxf>
    <dxf>
      <numFmt numFmtId="170" formatCode="#,##0.0"/>
    </dxf>
    <dxf>
      <numFmt numFmtId="170" formatCode="#,##0.0"/>
    </dxf>
    <dxf>
      <numFmt numFmtId="170" formatCode="#,##0.0"/>
    </dxf>
    <dxf>
      <numFmt numFmtId="170" formatCode="#,##0.0"/>
    </dxf>
    <dxf>
      <numFmt numFmtId="170" formatCode="#,##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30" formatCode="@"/>
    </dxf>
    <dxf>
      <numFmt numFmtId="30" formatCode="@"/>
      <border diagonalUp="0" diagonalDown="0" outline="0">
        <left/>
        <right style="double">
          <color auto="1"/>
        </right>
        <top/>
        <bottom/>
      </border>
    </dxf>
    <dxf>
      <numFmt numFmtId="30" formatCode="@"/>
    </dxf>
    <dxf>
      <numFmt numFmtId="30" formatCode="@"/>
    </dxf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14" formatCode="0.00%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general" vertical="bottom" textRotation="0" wrapText="1" indent="0" justifyLastLine="0" shrinkToFit="0" readingOrder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lbert, James" refreshedDate="42955.537285069448" createdVersion="5" refreshedVersion="5" minRefreshableVersion="3" recordCount="29">
  <cacheSource type="worksheet">
    <worksheetSource name="Costs"/>
  </cacheSource>
  <cacheFields count="3">
    <cacheField name="Item" numFmtId="0">
      <sharedItems/>
    </cacheField>
    <cacheField name="Component" numFmtId="0">
      <sharedItems count="12">
        <s v="LiPo"/>
        <s v="5V Regulator"/>
        <s v="Raspberry Pi"/>
        <s v="POE Injector"/>
        <s v="RM3"/>
        <s v="3GHz Antenna"/>
        <s v="12V Regulator"/>
        <s v="VEX ESC"/>
        <s v="Wheel Motor"/>
        <s v="12RPM Motor"/>
        <s v="26RPM Motor"/>
        <s v=""/>
      </sharedItems>
    </cacheField>
    <cacheField name="Cost" numFmtId="164">
      <sharedItems containsMixedTypes="1" containsNumber="1" minValue="7.25" maxValue="180" count="7">
        <s v=""/>
        <n v="30"/>
        <n v="180"/>
        <n v="150"/>
        <n v="60"/>
        <n v="7.25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Battery Pack"/>
    <x v="0"/>
    <x v="0"/>
  </r>
  <r>
    <s v="Logic Supply"/>
    <x v="1"/>
    <x v="0"/>
  </r>
  <r>
    <s v="Master Control"/>
    <x v="2"/>
    <x v="1"/>
  </r>
  <r>
    <s v="Comms Power"/>
    <x v="3"/>
    <x v="0"/>
  </r>
  <r>
    <s v="Transceiver"/>
    <x v="4"/>
    <x v="2"/>
  </r>
  <r>
    <s v="Antenna"/>
    <x v="5"/>
    <x v="3"/>
  </r>
  <r>
    <s v="Dirty Power"/>
    <x v="6"/>
    <x v="0"/>
  </r>
  <r>
    <s v="FrontRight ESC"/>
    <x v="7"/>
    <x v="4"/>
  </r>
  <r>
    <s v="FrontRight Motor"/>
    <x v="8"/>
    <x v="5"/>
  </r>
  <r>
    <s v="MidRight ESC"/>
    <x v="7"/>
    <x v="4"/>
  </r>
  <r>
    <s v="MidRight Motor"/>
    <x v="8"/>
    <x v="5"/>
  </r>
  <r>
    <s v="BackRight ESC"/>
    <x v="7"/>
    <x v="4"/>
  </r>
  <r>
    <s v="BackRight Motor"/>
    <x v="8"/>
    <x v="5"/>
  </r>
  <r>
    <s v="FrontLeft ESC"/>
    <x v="7"/>
    <x v="4"/>
  </r>
  <r>
    <s v="FrontLeft Motor"/>
    <x v="8"/>
    <x v="5"/>
  </r>
  <r>
    <s v="MidLeft ESC"/>
    <x v="7"/>
    <x v="4"/>
  </r>
  <r>
    <s v="MidLeft Motor"/>
    <x v="8"/>
    <x v="5"/>
  </r>
  <r>
    <s v="BackLeft ESC"/>
    <x v="7"/>
    <x v="4"/>
  </r>
  <r>
    <s v="BackLeft Motor"/>
    <x v="8"/>
    <x v="5"/>
  </r>
  <r>
    <s v="Shoulder Motor"/>
    <x v="9"/>
    <x v="4"/>
  </r>
  <r>
    <s v="Base Motor"/>
    <x v="10"/>
    <x v="6"/>
  </r>
  <r>
    <s v="Upper Limb Motor"/>
    <x v="10"/>
    <x v="6"/>
  </r>
  <r>
    <s v=""/>
    <x v="11"/>
    <x v="0"/>
  </r>
  <r>
    <s v=""/>
    <x v="11"/>
    <x v="0"/>
  </r>
  <r>
    <s v=""/>
    <x v="11"/>
    <x v="0"/>
  </r>
  <r>
    <s v=""/>
    <x v="11"/>
    <x v="0"/>
  </r>
  <r>
    <s v=""/>
    <x v="11"/>
    <x v="0"/>
  </r>
  <r>
    <s v=""/>
    <x v="11"/>
    <x v="0"/>
  </r>
  <r>
    <s v="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onent">
  <location ref="E1:F14" firstHeaderRow="1" firstDataRow="1" firstDataCol="1"/>
  <pivotFields count="3">
    <pivotField showAll="0"/>
    <pivotField axis="axisRow" showAll="0">
      <items count="13">
        <item x="11"/>
        <item x="9"/>
        <item x="6"/>
        <item x="10"/>
        <item x="5"/>
        <item x="1"/>
        <item x="0"/>
        <item x="3"/>
        <item x="2"/>
        <item x="4"/>
        <item x="7"/>
        <item x="8"/>
        <item t="default"/>
      </items>
    </pivotField>
    <pivotField dataField="1" showAll="0">
      <items count="8">
        <item x="5"/>
        <item x="1"/>
        <item x="6"/>
        <item x="4"/>
        <item x="3"/>
        <item x="2"/>
        <item x="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Cost" fld="2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ComponentData" displayName="ComponentData" ref="A1:J12" totalsRowShown="0">
  <autoFilter ref="A1:J12"/>
  <tableColumns count="10">
    <tableColumn id="1" name="ID" dataDxfId="41"/>
    <tableColumn id="6" name="Name" dataDxfId="42"/>
    <tableColumn id="2" name="Manufacturer" dataDxfId="40"/>
    <tableColumn id="3" name="Source" dataDxfId="38"/>
    <tableColumn id="4" name="Price" dataDxfId="39"/>
    <tableColumn id="5" name="Peak Consumption (W)" dataDxfId="17"/>
    <tableColumn id="10" name="Constant Consumption (W)" dataDxfId="16"/>
    <tableColumn id="7" name="Output (V)" dataDxfId="15"/>
    <tableColumn id="8" name="Output (A)" dataDxfId="14"/>
    <tableColumn id="9" name="Battery (mAh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Analysis" displayName="Analysis" ref="A1:P30" totalsRowShown="0">
  <autoFilter ref="A1:P30"/>
  <tableColumns count="16">
    <tableColumn id="1" name="ItemID" dataDxfId="26"/>
    <tableColumn id="2" name="ComponentID" dataDxfId="25"/>
    <tableColumn id="5" name="Supply Item" dataDxfId="24"/>
    <tableColumn id="13" name="Supply Component" dataDxfId="23">
      <calculatedColumnFormula>IF(ISBLANK(Analysis[[#This Row],[Supply Item]]), "", VLOOKUP(Analysis[[#This Row],[Supply Item]], Analysis[], COLUMN(Analysis[ComponentID])-COLUMN(Analysis[])+1, FALSE))</calculatedColumnFormula>
    </tableColumn>
    <tableColumn id="11" name="Input (V)" dataDxfId="27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calculatedColumnFormula>
    </tableColumn>
    <tableColumn id="8" name="Output (V)" dataDxfId="9">
      <calculatedColumnFormula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calculatedColumnFormula>
    </tableColumn>
    <tableColumn id="9" name="Peak Input (A)" dataDxfId="22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7" name="Peak Output (A)" dataDxfId="21">
      <calculatedColumnFormula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calculatedColumnFormula>
    </tableColumn>
    <tableColumn id="16" name="Constant Input (A)" dataDxfId="8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17" name="Constant Output (A)" dataDxfId="7">
      <calculatedColumnFormula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calculatedColumnFormula>
    </tableColumn>
    <tableColumn id="3" name="Self Peak Consumption (W)" dataDxfId="20">
      <calculatedColumnFormula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calculatedColumnFormula>
    </tableColumn>
    <tableColumn id="4" name="Children Peak Consumption (W)" dataDxfId="19">
      <calculatedColumnFormula>IF(OR(ISBLANK(Analysis[[#This Row],[ItemID]]), Analysis[[#This Row],[ItemID]]="", ISBLANK(Analysis[[#This Row],[ComponentID]]), Analysis[[#This Row],[ComponentID]]=""), "", SUMIFS(Analysis[Total Peak Consumption (W)], Analysis[Supply Item], Analysis[[#This Row],[ItemID]]))</calculatedColumnFormula>
    </tableColumn>
    <tableColumn id="6" name="Total Peak Consumption (W)" dataDxfId="18">
      <calculatedColumnFormula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calculatedColumnFormula>
    </tableColumn>
    <tableColumn id="12" name="Self Constant Consumption (W)" dataDxfId="12">
      <calculatedColumnFormula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calculatedColumnFormula>
    </tableColumn>
    <tableColumn id="14" name="Children Constant Consumption (W)" dataDxfId="11">
      <calculatedColumnFormula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calculatedColumnFormula>
    </tableColumn>
    <tableColumn id="15" name="Total Constant Consumption (W)" dataDxfId="10">
      <calculatedColumnFormula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Results" displayName="Results" ref="A1:E30" totalsRowShown="0">
  <autoFilter ref="A1:E30"/>
  <tableColumns count="5">
    <tableColumn id="1" name="ItemID" dataDxfId="37">
      <calculatedColumnFormula>IF(IFERROR(Analysis[[#This Row],[ItemID]], 0)=0, "", Analysis[[#This Row],[ItemID]])</calculatedColumnFormula>
    </tableColumn>
    <tableColumn id="2" name="Component" dataDxfId="36">
      <calculatedColumnFormula>IF(OR(ISBLANK(Results[[#This Row],[ItemID]]), Results[[#This Row],[ItemID]]=""), "", VLOOKUP(Analysis[[#This Row],[ItemID]], Analysis[], COLUMN(Analysis[ComponentID])-COLUMN(Analysis[])+1, FALSE))</calculatedColumnFormula>
    </tableColumn>
    <tableColumn id="3" name="Peak % Capacity" dataDxfId="31">
      <calculatedColumnFormula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calculatedColumnFormula>
    </tableColumn>
    <tableColumn id="7" name="Constant % Capacity" dataDxfId="6">
      <calculatedColumnFormula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calculatedColumnFormula>
    </tableColumn>
    <tableColumn id="6" name="Battery Life (hrs)" dataDxfId="5">
      <calculatedColumnFormula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RailSummary" displayName="RailSummary" ref="L1:O8" totalsRowShown="0">
  <autoFilter ref="L1:O8"/>
  <tableColumns count="4">
    <tableColumn id="1" name="Power Rail" dataDxfId="35"/>
    <tableColumn id="2" name="Voltage (V)" dataDxfId="34">
      <calculatedColumnFormula>IF(ISBLANK(RailSummary[[#This Row],[Power Rail]]), "", VLOOKUP(RailSummary[[#This Row],[Power Rail]], Analysis[], COLUMN(Analysis[Output (V)])-COLUMN(Analysis[])+1, FALSE))</calculatedColumnFormula>
    </tableColumn>
    <tableColumn id="3" name="Current (W)" dataDxfId="33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name="Power (W)" dataDxfId="32">
      <calculatedColumnFormula>IF(ISBLANK(RailSummary[[#This Row],[Power Rail]]), "", RailSummary[[#This Row],[Voltage (V)]]*RailSummary[[#This Row],[Current (W)]])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osts" displayName="Costs" ref="A1:C30" totalsRowShown="0">
  <autoFilter ref="A1:C30"/>
  <tableColumns count="3">
    <tableColumn id="1" name="Item" dataDxfId="30">
      <calculatedColumnFormula>IF(OR(ISBLANK(Analysis[[#This Row],[ItemID]]), Analysis[[#This Row],[ItemID]]="", Analysis[[#This Row],[ItemID]]=0), "", Analysis[[#This Row],[ItemID]])</calculatedColumnFormula>
    </tableColumn>
    <tableColumn id="2" name="Component" dataDxfId="29">
      <calculatedColumnFormula>IF(OR(ISBLANK(Costs[[#This Row],[Item]]), Costs[[#This Row],[Item]]="", Costs[[#This Row],[Item]]=0), "", VLOOKUP(Analysis[[#This Row],[ItemID]], Analysis[], COLUMN(Analysis[ComponentID])-COLUMN(Analysis[])+1, FALSE))</calculatedColumnFormula>
    </tableColumn>
    <tableColumn id="3" name="Cost" dataDxfId="28">
      <calculatedColumnFormula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4.42578125" bestFit="1" customWidth="1"/>
    <col min="5" max="5" width="7.7109375" bestFit="1" customWidth="1"/>
    <col min="6" max="6" width="19.140625" bestFit="1" customWidth="1"/>
    <col min="7" max="7" width="27.85546875" bestFit="1" customWidth="1"/>
    <col min="8" max="9" width="12.7109375" bestFit="1" customWidth="1"/>
    <col min="10" max="10" width="15.7109375" bestFit="1" customWidth="1"/>
  </cols>
  <sheetData>
    <row r="1" spans="1:10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77</v>
      </c>
      <c r="G1" t="s">
        <v>78</v>
      </c>
      <c r="H1" t="s">
        <v>13</v>
      </c>
      <c r="I1" t="s">
        <v>14</v>
      </c>
      <c r="J1" t="s">
        <v>39</v>
      </c>
    </row>
    <row r="2" spans="1:10" x14ac:dyDescent="0.25">
      <c r="A2" s="2" t="s">
        <v>10</v>
      </c>
      <c r="B2" s="2"/>
      <c r="C2" s="2"/>
      <c r="D2" s="7"/>
      <c r="E2" s="3"/>
      <c r="F2" s="15">
        <v>0</v>
      </c>
      <c r="G2" s="15">
        <v>0</v>
      </c>
      <c r="H2" s="15">
        <v>24</v>
      </c>
      <c r="I2" s="15">
        <v>400</v>
      </c>
      <c r="J2" s="15">
        <v>1000</v>
      </c>
    </row>
    <row r="3" spans="1:10" x14ac:dyDescent="0.25">
      <c r="A3" s="2" t="s">
        <v>42</v>
      </c>
      <c r="B3" s="2" t="s">
        <v>32</v>
      </c>
      <c r="C3" s="2"/>
      <c r="D3" s="7"/>
      <c r="E3" s="3"/>
      <c r="F3" s="15">
        <v>0</v>
      </c>
      <c r="G3" s="15">
        <v>0</v>
      </c>
      <c r="H3" s="15">
        <v>12</v>
      </c>
      <c r="I3" s="15">
        <v>550</v>
      </c>
      <c r="J3" s="15"/>
    </row>
    <row r="4" spans="1:10" x14ac:dyDescent="0.25">
      <c r="A4" s="2" t="s">
        <v>47</v>
      </c>
      <c r="B4" s="2" t="s">
        <v>49</v>
      </c>
      <c r="C4" s="2" t="s">
        <v>50</v>
      </c>
      <c r="D4" s="7" t="s">
        <v>50</v>
      </c>
      <c r="E4" s="3" t="s">
        <v>51</v>
      </c>
      <c r="F4" s="15">
        <v>2.5</v>
      </c>
      <c r="G4" s="15">
        <v>2.5</v>
      </c>
      <c r="H4" s="15">
        <v>24</v>
      </c>
      <c r="I4" s="15">
        <v>1</v>
      </c>
      <c r="J4" s="15"/>
    </row>
    <row r="5" spans="1:10" x14ac:dyDescent="0.25">
      <c r="A5" s="2" t="s">
        <v>33</v>
      </c>
      <c r="B5" s="2" t="s">
        <v>32</v>
      </c>
      <c r="C5" s="2"/>
      <c r="D5" s="7"/>
      <c r="E5" s="3"/>
      <c r="F5" s="15">
        <v>0</v>
      </c>
      <c r="G5" s="15">
        <v>0</v>
      </c>
      <c r="H5" s="15">
        <v>5</v>
      </c>
      <c r="I5" s="15">
        <v>10</v>
      </c>
      <c r="J5" s="15"/>
    </row>
    <row r="6" spans="1:10" x14ac:dyDescent="0.25">
      <c r="A6" s="2" t="s">
        <v>35</v>
      </c>
      <c r="B6" s="2" t="s">
        <v>36</v>
      </c>
      <c r="C6" s="2"/>
      <c r="D6" s="7"/>
      <c r="E6" s="3">
        <v>30</v>
      </c>
      <c r="F6" s="15">
        <v>7</v>
      </c>
      <c r="G6" s="15">
        <v>7</v>
      </c>
      <c r="H6" s="15">
        <v>3.3</v>
      </c>
      <c r="I6" s="15">
        <v>0.5</v>
      </c>
      <c r="J6" s="15"/>
    </row>
    <row r="7" spans="1:10" ht="30" x14ac:dyDescent="0.25">
      <c r="A7" s="2" t="s">
        <v>52</v>
      </c>
      <c r="B7" s="2" t="s">
        <v>62</v>
      </c>
      <c r="C7" s="2" t="s">
        <v>45</v>
      </c>
      <c r="D7" s="7" t="s">
        <v>46</v>
      </c>
      <c r="E7" s="3">
        <v>180</v>
      </c>
      <c r="F7" s="15">
        <v>0.5</v>
      </c>
      <c r="G7" s="15">
        <v>0.5</v>
      </c>
      <c r="H7" s="15">
        <v>24</v>
      </c>
      <c r="I7" s="15">
        <v>1</v>
      </c>
      <c r="J7" s="15"/>
    </row>
    <row r="8" spans="1:10" ht="30" x14ac:dyDescent="0.25">
      <c r="A8" s="2" t="s">
        <v>55</v>
      </c>
      <c r="B8" s="2" t="s">
        <v>54</v>
      </c>
      <c r="C8" s="2" t="s">
        <v>45</v>
      </c>
      <c r="D8" s="7" t="s">
        <v>56</v>
      </c>
      <c r="E8" s="3">
        <v>150</v>
      </c>
      <c r="F8" s="15">
        <v>7.5</v>
      </c>
      <c r="G8" s="15">
        <v>7.5</v>
      </c>
      <c r="H8" s="15"/>
      <c r="I8" s="15"/>
      <c r="J8" s="15"/>
    </row>
    <row r="9" spans="1:10" x14ac:dyDescent="0.25">
      <c r="A9" s="2" t="s">
        <v>9</v>
      </c>
      <c r="B9" s="2" t="s">
        <v>6</v>
      </c>
      <c r="C9" s="2" t="s">
        <v>7</v>
      </c>
      <c r="D9" s="7" t="s">
        <v>8</v>
      </c>
      <c r="E9" s="3">
        <v>60</v>
      </c>
      <c r="F9" s="15">
        <v>0</v>
      </c>
      <c r="G9" s="15">
        <v>0</v>
      </c>
      <c r="H9" s="15">
        <v>12</v>
      </c>
      <c r="I9" s="15">
        <v>60</v>
      </c>
      <c r="J9" s="15"/>
    </row>
    <row r="10" spans="1:10" x14ac:dyDescent="0.25">
      <c r="A10" s="2" t="s">
        <v>61</v>
      </c>
      <c r="B10" s="2" t="s">
        <v>16</v>
      </c>
      <c r="C10" s="2" t="s">
        <v>17</v>
      </c>
      <c r="D10" s="7" t="s">
        <v>18</v>
      </c>
      <c r="E10" s="3">
        <v>7.25</v>
      </c>
      <c r="F10" s="20">
        <v>1020</v>
      </c>
      <c r="G10" s="19">
        <v>700</v>
      </c>
      <c r="H10" s="15"/>
      <c r="I10" s="15"/>
      <c r="J10" s="15"/>
    </row>
    <row r="11" spans="1:10" ht="30" x14ac:dyDescent="0.25">
      <c r="A11" s="2" t="s">
        <v>66</v>
      </c>
      <c r="B11" s="2" t="s">
        <v>64</v>
      </c>
      <c r="C11" s="2"/>
      <c r="D11" s="7" t="s">
        <v>63</v>
      </c>
      <c r="E11" s="3">
        <v>60</v>
      </c>
      <c r="F11" s="15">
        <v>240</v>
      </c>
      <c r="G11" s="15">
        <v>240</v>
      </c>
      <c r="H11" s="15"/>
      <c r="I11" s="15"/>
      <c r="J11" s="15"/>
    </row>
    <row r="12" spans="1:10" ht="30" x14ac:dyDescent="0.25">
      <c r="A12" s="2" t="s">
        <v>67</v>
      </c>
      <c r="B12" s="2" t="s">
        <v>69</v>
      </c>
      <c r="C12" s="2"/>
      <c r="D12" s="7" t="s">
        <v>68</v>
      </c>
      <c r="E12" s="3">
        <v>50</v>
      </c>
      <c r="F12" s="15">
        <v>58.8</v>
      </c>
      <c r="G12" s="15">
        <v>58.8</v>
      </c>
      <c r="H12" s="15"/>
      <c r="I12" s="15"/>
      <c r="J12" s="1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RowHeight="15" x14ac:dyDescent="0.25"/>
  <cols>
    <col min="1" max="1" width="17.28515625" bestFit="1" customWidth="1"/>
    <col min="2" max="2" width="15.7109375" bestFit="1" customWidth="1"/>
    <col min="3" max="3" width="14" customWidth="1"/>
    <col min="4" max="4" width="20.42578125" hidden="1" customWidth="1"/>
    <col min="5" max="5" width="11.140625" bestFit="1" customWidth="1"/>
    <col min="6" max="6" width="12.7109375" bestFit="1" customWidth="1"/>
    <col min="7" max="7" width="16" bestFit="1" customWidth="1"/>
    <col min="8" max="8" width="17.5703125" bestFit="1" customWidth="1"/>
    <col min="9" max="10" width="17.5703125" customWidth="1"/>
    <col min="11" max="11" width="28.140625" bestFit="1" customWidth="1"/>
    <col min="12" max="12" width="32.42578125" bestFit="1" customWidth="1"/>
    <col min="13" max="13" width="29.140625" bestFit="1" customWidth="1"/>
    <col min="14" max="14" width="31" bestFit="1" customWidth="1"/>
    <col min="15" max="15" width="35.28515625" bestFit="1" customWidth="1"/>
    <col min="16" max="16" width="32.140625" bestFit="1" customWidth="1"/>
  </cols>
  <sheetData>
    <row r="1" spans="1:16" x14ac:dyDescent="0.25">
      <c r="A1" s="11" t="s">
        <v>12</v>
      </c>
      <c r="B1" s="11" t="s">
        <v>11</v>
      </c>
      <c r="C1" s="12" t="s">
        <v>40</v>
      </c>
      <c r="D1" t="s">
        <v>31</v>
      </c>
      <c r="E1" t="s">
        <v>76</v>
      </c>
      <c r="F1" t="s">
        <v>13</v>
      </c>
      <c r="G1" t="s">
        <v>85</v>
      </c>
      <c r="H1" t="s">
        <v>86</v>
      </c>
      <c r="I1" t="s">
        <v>87</v>
      </c>
      <c r="J1" t="s">
        <v>88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</row>
    <row r="2" spans="1:16" x14ac:dyDescent="0.25">
      <c r="A2" s="10" t="s">
        <v>15</v>
      </c>
      <c r="B2" s="10" t="s">
        <v>10</v>
      </c>
      <c r="C2" s="13"/>
      <c r="D2" s="2" t="str">
        <f>IF(ISBLANK(Analysis[[#This Row],[Supply Item]]), "", VLOOKUP(Analysis[[#This Row],[Supply Item]], Analysis[], COLUMN(Analysis[ComponentID])-COLUMN(Analysis[])+1, FALSE))</f>
        <v/>
      </c>
      <c r="E2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24</v>
      </c>
      <c r="G2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/>
      </c>
      <c r="H2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270.62916666666666</v>
      </c>
      <c r="I2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/>
      </c>
      <c r="J2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190.62916666666669</v>
      </c>
      <c r="K2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</v>
      </c>
      <c r="L2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6495.1</v>
      </c>
      <c r="M2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6495.1</v>
      </c>
      <c r="N2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</v>
      </c>
      <c r="O2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4575.1000000000004</v>
      </c>
      <c r="P2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4575.1000000000004</v>
      </c>
    </row>
    <row r="3" spans="1:16" x14ac:dyDescent="0.25">
      <c r="A3" s="10" t="s">
        <v>34</v>
      </c>
      <c r="B3" s="10" t="s">
        <v>33</v>
      </c>
      <c r="C3" s="13" t="s">
        <v>43</v>
      </c>
      <c r="D3" s="2" t="str">
        <f>IF(ISBLANK(Analysis[[#This Row],[Supply Item]]), "", VLOOKUP(Analysis[[#This Row],[Supply Item]], Analysis[], COLUMN(Analysis[ComponentID])-COLUMN(Analysis[])+1, FALSE))</f>
        <v>12V Regulator</v>
      </c>
      <c r="E3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3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5</v>
      </c>
      <c r="G3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0.58333333333333337</v>
      </c>
      <c r="H3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1.4</v>
      </c>
      <c r="I3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0.58333333333333337</v>
      </c>
      <c r="J3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1.4</v>
      </c>
      <c r="K3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</v>
      </c>
      <c r="L3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7</v>
      </c>
      <c r="M3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7</v>
      </c>
      <c r="N3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</v>
      </c>
      <c r="O3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7</v>
      </c>
      <c r="P3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</v>
      </c>
    </row>
    <row r="4" spans="1:16" x14ac:dyDescent="0.25">
      <c r="A4" s="10" t="s">
        <v>37</v>
      </c>
      <c r="B4" s="10" t="s">
        <v>35</v>
      </c>
      <c r="C4" s="13" t="s">
        <v>34</v>
      </c>
      <c r="D4" s="2" t="str">
        <f>IF(ISBLANK(Analysis[[#This Row],[Supply Item]]), "", VLOOKUP(Analysis[[#This Row],[Supply Item]], Analysis[], COLUMN(Analysis[ComponentID])-COLUMN(Analysis[])+1, FALSE))</f>
        <v>5V Regulator</v>
      </c>
      <c r="E4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5</v>
      </c>
      <c r="F4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3.3</v>
      </c>
      <c r="G4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1.4</v>
      </c>
      <c r="H4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0</v>
      </c>
      <c r="I4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1.4</v>
      </c>
      <c r="J4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0</v>
      </c>
      <c r="K4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7</v>
      </c>
      <c r="L4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4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7</v>
      </c>
      <c r="N4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7</v>
      </c>
      <c r="O4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4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</v>
      </c>
    </row>
    <row r="5" spans="1:16" x14ac:dyDescent="0.25">
      <c r="A5" s="10" t="s">
        <v>53</v>
      </c>
      <c r="B5" s="10" t="s">
        <v>47</v>
      </c>
      <c r="C5" s="13" t="s">
        <v>15</v>
      </c>
      <c r="D5" s="2" t="str">
        <f>IF(ISBLANK(Analysis[[#This Row],[Supply Item]]), "", VLOOKUP(Analysis[[#This Row],[Supply Item]], Analysis[], COLUMN(Analysis[ComponentID])-COLUMN(Analysis[])+1, FALSE))</f>
        <v>LiPo</v>
      </c>
      <c r="E5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5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24</v>
      </c>
      <c r="G5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0.4375</v>
      </c>
      <c r="H5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0.33333333333333331</v>
      </c>
      <c r="I5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0.4375</v>
      </c>
      <c r="J5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0.33333333333333331</v>
      </c>
      <c r="K5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2.5</v>
      </c>
      <c r="L5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8</v>
      </c>
      <c r="M5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10.5</v>
      </c>
      <c r="N5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2.5</v>
      </c>
      <c r="O5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8</v>
      </c>
      <c r="P5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10.5</v>
      </c>
    </row>
    <row r="6" spans="1:16" x14ac:dyDescent="0.25">
      <c r="A6" s="10" t="s">
        <v>48</v>
      </c>
      <c r="B6" s="10" t="s">
        <v>52</v>
      </c>
      <c r="C6" s="13" t="s">
        <v>53</v>
      </c>
      <c r="D6" s="2" t="str">
        <f>IF(ISBLANK(Analysis[[#This Row],[Supply Item]]), "", VLOOKUP(Analysis[[#This Row],[Supply Item]], Analysis[], COLUMN(Analysis[ComponentID])-COLUMN(Analysis[])+1, FALSE))</f>
        <v>POE Injector</v>
      </c>
      <c r="E6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6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24</v>
      </c>
      <c r="G6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H6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0.3125</v>
      </c>
      <c r="I6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0.33333333333333331</v>
      </c>
      <c r="J6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0.3125</v>
      </c>
      <c r="K6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0.5</v>
      </c>
      <c r="L6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7.5</v>
      </c>
      <c r="M6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8</v>
      </c>
      <c r="N6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0.5</v>
      </c>
      <c r="O6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7.5</v>
      </c>
      <c r="P6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8</v>
      </c>
    </row>
    <row r="7" spans="1:16" x14ac:dyDescent="0.25">
      <c r="A7" s="10" t="s">
        <v>44</v>
      </c>
      <c r="B7" s="10" t="s">
        <v>55</v>
      </c>
      <c r="C7" s="13" t="s">
        <v>48</v>
      </c>
      <c r="D7" s="2" t="str">
        <f>IF(ISBLANK(Analysis[[#This Row],[Supply Item]]), "", VLOOKUP(Analysis[[#This Row],[Supply Item]], Analysis[], COLUMN(Analysis[ComponentID])-COLUMN(Analysis[])+1, FALSE))</f>
        <v>RM3</v>
      </c>
      <c r="E7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7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7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0.3125</v>
      </c>
      <c r="H7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7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J7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7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7.5</v>
      </c>
      <c r="L7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7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7.5</v>
      </c>
      <c r="N7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7.5</v>
      </c>
      <c r="O7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7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7.5</v>
      </c>
    </row>
    <row r="8" spans="1:16" x14ac:dyDescent="0.25">
      <c r="A8" s="10" t="s">
        <v>43</v>
      </c>
      <c r="B8" s="10" t="s">
        <v>42</v>
      </c>
      <c r="C8" s="13" t="s">
        <v>15</v>
      </c>
      <c r="D8" s="2" t="str">
        <f>IF(ISBLANK(Analysis[[#This Row],[Supply Item]]), "", VLOOKUP(Analysis[[#This Row],[Supply Item]], Analysis[], COLUMN(Analysis[ComponentID])-COLUMN(Analysis[])+1, FALSE))</f>
        <v>LiPo</v>
      </c>
      <c r="E8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8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G8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270.19166666666666</v>
      </c>
      <c r="H8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540.38333333333333</v>
      </c>
      <c r="I8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190.19166666666669</v>
      </c>
      <c r="J8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380.38333333333338</v>
      </c>
      <c r="K8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</v>
      </c>
      <c r="L8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6484.6</v>
      </c>
      <c r="M8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6484.6</v>
      </c>
      <c r="N8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</v>
      </c>
      <c r="O8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4564.6000000000004</v>
      </c>
      <c r="P8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4564.6000000000004</v>
      </c>
    </row>
    <row r="9" spans="1:16" x14ac:dyDescent="0.25">
      <c r="A9" s="10" t="s">
        <v>19</v>
      </c>
      <c r="B9" s="10" t="s">
        <v>9</v>
      </c>
      <c r="C9" s="13" t="s">
        <v>43</v>
      </c>
      <c r="D9" s="2" t="str">
        <f>IF(ISBLANK(Analysis[[#This Row],[Supply Item]]), "", VLOOKUP(Analysis[[#This Row],[Supply Item]], Analysis[], COLUMN(Analysis[ComponentID])-COLUMN(Analysis[])+1, FALSE))</f>
        <v>12V Regulator</v>
      </c>
      <c r="E9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9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G9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9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85</v>
      </c>
      <c r="I9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9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58.333333333333336</v>
      </c>
      <c r="K9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</v>
      </c>
      <c r="L9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1020</v>
      </c>
      <c r="M9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9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</v>
      </c>
      <c r="O9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700</v>
      </c>
      <c r="P9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0" spans="1:16" x14ac:dyDescent="0.25">
      <c r="A10" s="10" t="s">
        <v>25</v>
      </c>
      <c r="B10" s="10" t="s">
        <v>61</v>
      </c>
      <c r="C10" s="13" t="s">
        <v>19</v>
      </c>
      <c r="D10" s="2" t="str">
        <f>IF(ISBLANK(Analysis[[#This Row],[Supply Item]]), "", VLOOKUP(Analysis[[#This Row],[Supply Item]], Analysis[], COLUMN(Analysis[ComponentID])-COLUMN(Analysis[])+1, FALSE))</f>
        <v>VEX ESC</v>
      </c>
      <c r="E10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0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10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0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10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0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10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1020</v>
      </c>
      <c r="L10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10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0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700</v>
      </c>
      <c r="O10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10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1" spans="1:16" x14ac:dyDescent="0.25">
      <c r="A11" s="10" t="s">
        <v>20</v>
      </c>
      <c r="B11" s="10" t="s">
        <v>9</v>
      </c>
      <c r="C11" s="13" t="s">
        <v>43</v>
      </c>
      <c r="D11" s="2" t="str">
        <f>IF(ISBLANK(Analysis[[#This Row],[Supply Item]]), "", VLOOKUP(Analysis[[#This Row],[Supply Item]], Analysis[], COLUMN(Analysis[ComponentID])-COLUMN(Analysis[])+1, FALSE))</f>
        <v>12V Regulator</v>
      </c>
      <c r="E11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G11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1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85</v>
      </c>
      <c r="I11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1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58.333333333333336</v>
      </c>
      <c r="K11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</v>
      </c>
      <c r="L11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1020</v>
      </c>
      <c r="M11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1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</v>
      </c>
      <c r="O11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700</v>
      </c>
      <c r="P11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2" spans="1:16" x14ac:dyDescent="0.25">
      <c r="A12" s="10" t="s">
        <v>30</v>
      </c>
      <c r="B12" s="10" t="s">
        <v>61</v>
      </c>
      <c r="C12" s="13" t="s">
        <v>20</v>
      </c>
      <c r="D12" s="2" t="str">
        <f>IF(ISBLANK(Analysis[[#This Row],[Supply Item]]), "", VLOOKUP(Analysis[[#This Row],[Supply Item]], Analysis[], COLUMN(Analysis[ComponentID])-COLUMN(Analysis[])+1, FALSE))</f>
        <v>VEX ESC</v>
      </c>
      <c r="E12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2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12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2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12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2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12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1020</v>
      </c>
      <c r="L12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12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2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700</v>
      </c>
      <c r="O12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12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3" spans="1:16" x14ac:dyDescent="0.25">
      <c r="A13" s="10" t="s">
        <v>21</v>
      </c>
      <c r="B13" s="10" t="s">
        <v>9</v>
      </c>
      <c r="C13" s="13" t="s">
        <v>43</v>
      </c>
      <c r="D13" s="2" t="str">
        <f>IF(ISBLANK(Analysis[[#This Row],[Supply Item]]), "", VLOOKUP(Analysis[[#This Row],[Supply Item]], Analysis[], COLUMN(Analysis[ComponentID])-COLUMN(Analysis[])+1, FALSE))</f>
        <v>12V Regulator</v>
      </c>
      <c r="E13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3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G13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3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85</v>
      </c>
      <c r="I13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3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58.333333333333336</v>
      </c>
      <c r="K13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</v>
      </c>
      <c r="L13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1020</v>
      </c>
      <c r="M13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3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</v>
      </c>
      <c r="O13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700</v>
      </c>
      <c r="P13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4" spans="1:16" x14ac:dyDescent="0.25">
      <c r="A14" s="10" t="s">
        <v>26</v>
      </c>
      <c r="B14" s="10" t="s">
        <v>61</v>
      </c>
      <c r="C14" s="13" t="s">
        <v>21</v>
      </c>
      <c r="D14" s="2" t="str">
        <f>IF(ISBLANK(Analysis[[#This Row],[Supply Item]]), "", VLOOKUP(Analysis[[#This Row],[Supply Item]], Analysis[], COLUMN(Analysis[ComponentID])-COLUMN(Analysis[])+1, FALSE))</f>
        <v>VEX ESC</v>
      </c>
      <c r="E14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4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14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4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14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4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14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1020</v>
      </c>
      <c r="L14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14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4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700</v>
      </c>
      <c r="O14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14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5" spans="1:16" x14ac:dyDescent="0.25">
      <c r="A15" s="10" t="s">
        <v>22</v>
      </c>
      <c r="B15" s="10" t="s">
        <v>9</v>
      </c>
      <c r="C15" s="13" t="s">
        <v>43</v>
      </c>
      <c r="D15" s="2" t="str">
        <f>IF(ISBLANK(Analysis[[#This Row],[Supply Item]]), "", VLOOKUP(Analysis[[#This Row],[Supply Item]], Analysis[], COLUMN(Analysis[ComponentID])-COLUMN(Analysis[])+1, FALSE))</f>
        <v>12V Regulator</v>
      </c>
      <c r="E15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5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G15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5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85</v>
      </c>
      <c r="I15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5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58.333333333333336</v>
      </c>
      <c r="K15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</v>
      </c>
      <c r="L15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1020</v>
      </c>
      <c r="M15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5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</v>
      </c>
      <c r="O15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700</v>
      </c>
      <c r="P15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6" spans="1:16" x14ac:dyDescent="0.25">
      <c r="A16" s="10" t="s">
        <v>27</v>
      </c>
      <c r="B16" s="10" t="s">
        <v>61</v>
      </c>
      <c r="C16" s="13" t="s">
        <v>22</v>
      </c>
      <c r="D16" s="2" t="str">
        <f>IF(ISBLANK(Analysis[[#This Row],[Supply Item]]), "", VLOOKUP(Analysis[[#This Row],[Supply Item]], Analysis[], COLUMN(Analysis[ComponentID])-COLUMN(Analysis[])+1, FALSE))</f>
        <v>VEX ESC</v>
      </c>
      <c r="E16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6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16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6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16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6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16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1020</v>
      </c>
      <c r="L16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16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6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700</v>
      </c>
      <c r="O16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16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7" spans="1:16" x14ac:dyDescent="0.25">
      <c r="A17" s="10" t="s">
        <v>23</v>
      </c>
      <c r="B17" s="10" t="s">
        <v>9</v>
      </c>
      <c r="C17" s="13" t="s">
        <v>43</v>
      </c>
      <c r="D17" s="2" t="str">
        <f>IF(ISBLANK(Analysis[[#This Row],[Supply Item]]), "", VLOOKUP(Analysis[[#This Row],[Supply Item]], Analysis[], COLUMN(Analysis[ComponentID])-COLUMN(Analysis[])+1, FALSE))</f>
        <v>12V Regulator</v>
      </c>
      <c r="E17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7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G17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7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85</v>
      </c>
      <c r="I17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7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58.333333333333336</v>
      </c>
      <c r="K17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</v>
      </c>
      <c r="L17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1020</v>
      </c>
      <c r="M17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7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</v>
      </c>
      <c r="O17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700</v>
      </c>
      <c r="P17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8" spans="1:16" x14ac:dyDescent="0.25">
      <c r="A18" s="10" t="s">
        <v>28</v>
      </c>
      <c r="B18" s="10" t="s">
        <v>61</v>
      </c>
      <c r="C18" s="13" t="s">
        <v>23</v>
      </c>
      <c r="D18" s="2" t="str">
        <f>IF(ISBLANK(Analysis[[#This Row],[Supply Item]]), "", VLOOKUP(Analysis[[#This Row],[Supply Item]], Analysis[], COLUMN(Analysis[ComponentID])-COLUMN(Analysis[])+1, FALSE))</f>
        <v>VEX ESC</v>
      </c>
      <c r="E18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8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18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8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18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8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18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1020</v>
      </c>
      <c r="L18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18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8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700</v>
      </c>
      <c r="O18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18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19" spans="1:16" x14ac:dyDescent="0.25">
      <c r="A19" s="10" t="s">
        <v>24</v>
      </c>
      <c r="B19" s="10" t="s">
        <v>9</v>
      </c>
      <c r="C19" s="13" t="s">
        <v>43</v>
      </c>
      <c r="D19" s="2" t="str">
        <f>IF(ISBLANK(Analysis[[#This Row],[Supply Item]]), "", VLOOKUP(Analysis[[#This Row],[Supply Item]], Analysis[], COLUMN(Analysis[ComponentID])-COLUMN(Analysis[])+1, FALSE))</f>
        <v>12V Regulator</v>
      </c>
      <c r="E19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9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G19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19" s="14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>85</v>
      </c>
      <c r="I19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19" s="14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>58.333333333333336</v>
      </c>
      <c r="K19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0</v>
      </c>
      <c r="L19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1020</v>
      </c>
      <c r="M19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19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0</v>
      </c>
      <c r="O19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700</v>
      </c>
      <c r="P19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20" spans="1:16" x14ac:dyDescent="0.25">
      <c r="A20" s="10" t="s">
        <v>29</v>
      </c>
      <c r="B20" s="10" t="s">
        <v>61</v>
      </c>
      <c r="C20" s="13" t="s">
        <v>24</v>
      </c>
      <c r="D20" s="2" t="str">
        <f>IF(ISBLANK(Analysis[[#This Row],[Supply Item]]), "", VLOOKUP(Analysis[[#This Row],[Supply Item]], Analysis[], COLUMN(Analysis[ComponentID])-COLUMN(Analysis[])+1, FALSE))</f>
        <v>VEX ESC</v>
      </c>
      <c r="E20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20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20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85</v>
      </c>
      <c r="H20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0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J20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0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1020</v>
      </c>
      <c r="L20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20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1020</v>
      </c>
      <c r="N20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700</v>
      </c>
      <c r="O20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20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700</v>
      </c>
    </row>
    <row r="21" spans="1:16" x14ac:dyDescent="0.25">
      <c r="A21" s="10" t="s">
        <v>65</v>
      </c>
      <c r="B21" s="10" t="s">
        <v>66</v>
      </c>
      <c r="C21" s="13" t="s">
        <v>43</v>
      </c>
      <c r="D21" s="2" t="str">
        <f>IF(ISBLANK(Analysis[[#This Row],[Supply Item]]), "", VLOOKUP(Analysis[[#This Row],[Supply Item]], Analysis[], COLUMN(Analysis[ComponentID])-COLUMN(Analysis[])+1, FALSE))</f>
        <v>12V Regulator</v>
      </c>
      <c r="E21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21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21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20</v>
      </c>
      <c r="H21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1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20</v>
      </c>
      <c r="J21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1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240</v>
      </c>
      <c r="L21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21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240</v>
      </c>
      <c r="N21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240</v>
      </c>
      <c r="O21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21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240</v>
      </c>
    </row>
    <row r="22" spans="1:16" x14ac:dyDescent="0.25">
      <c r="A22" s="10" t="s">
        <v>70</v>
      </c>
      <c r="B22" s="10" t="s">
        <v>67</v>
      </c>
      <c r="C22" s="13" t="s">
        <v>43</v>
      </c>
      <c r="D22" s="2" t="str">
        <f>IF(ISBLANK(Analysis[[#This Row],[Supply Item]]), "", VLOOKUP(Analysis[[#This Row],[Supply Item]], Analysis[], COLUMN(Analysis[ComponentID])-COLUMN(Analysis[])+1, FALSE))</f>
        <v>12V Regulator</v>
      </c>
      <c r="E22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22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22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2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2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4.8999999999999995</v>
      </c>
      <c r="J22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2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58.8</v>
      </c>
      <c r="L22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22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58.8</v>
      </c>
      <c r="N22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58.8</v>
      </c>
      <c r="O22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22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58.8</v>
      </c>
    </row>
    <row r="23" spans="1:16" x14ac:dyDescent="0.25">
      <c r="A23" s="10" t="s">
        <v>71</v>
      </c>
      <c r="B23" s="10" t="s">
        <v>67</v>
      </c>
      <c r="C23" s="13" t="s">
        <v>43</v>
      </c>
      <c r="D23" s="2" t="str">
        <f>IF(ISBLANK(Analysis[[#This Row],[Supply Item]]), "", VLOOKUP(Analysis[[#This Row],[Supply Item]], Analysis[], COLUMN(Analysis[ComponentID])-COLUMN(Analysis[])+1, FALSE))</f>
        <v>12V Regulator</v>
      </c>
      <c r="E23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23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G23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3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3" s="14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>4.8999999999999995</v>
      </c>
      <c r="J23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3" s="14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>58.8</v>
      </c>
      <c r="L23" s="14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>0</v>
      </c>
      <c r="M23" s="14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>58.8</v>
      </c>
      <c r="N23" s="14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>58.8</v>
      </c>
      <c r="O23" s="14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>0</v>
      </c>
      <c r="P23" s="14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>58.8</v>
      </c>
    </row>
    <row r="24" spans="1:16" x14ac:dyDescent="0.25">
      <c r="A24" s="10"/>
      <c r="B24" s="10"/>
      <c r="C24" s="13"/>
      <c r="D24" s="2" t="str">
        <f>IF(ISBLANK(Analysis[[#This Row],[Supply Item]]), "", VLOOKUP(Analysis[[#This Row],[Supply Item]], Analysis[], COLUMN(Analysis[ComponentID])-COLUMN(Analysis[])+1, FALSE))</f>
        <v/>
      </c>
      <c r="E24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4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G24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/>
      </c>
      <c r="H24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4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/>
      </c>
      <c r="J24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4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/>
      </c>
      <c r="L24" s="14" t="str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/>
      </c>
      <c r="M24" s="14" t="str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/>
      </c>
      <c r="N24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/>
      </c>
      <c r="O24" s="14" t="str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/>
      </c>
      <c r="P24" s="14" t="str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/>
      </c>
    </row>
    <row r="25" spans="1:16" x14ac:dyDescent="0.25">
      <c r="A25" s="10"/>
      <c r="B25" s="10"/>
      <c r="C25" s="13"/>
      <c r="D25" s="2" t="str">
        <f>IF(ISBLANK(Analysis[[#This Row],[Supply Item]]), "", VLOOKUP(Analysis[[#This Row],[Supply Item]], Analysis[], COLUMN(Analysis[ComponentID])-COLUMN(Analysis[])+1, FALSE))</f>
        <v/>
      </c>
      <c r="E25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5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G25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/>
      </c>
      <c r="H25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5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/>
      </c>
      <c r="J25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5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/>
      </c>
      <c r="L25" s="14" t="str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/>
      </c>
      <c r="M25" s="14" t="str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/>
      </c>
      <c r="N25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/>
      </c>
      <c r="O25" s="14" t="str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/>
      </c>
      <c r="P25" s="14" t="str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/>
      </c>
    </row>
    <row r="26" spans="1:16" x14ac:dyDescent="0.25">
      <c r="A26" s="10"/>
      <c r="B26" s="10"/>
      <c r="C26" s="13"/>
      <c r="D26" s="2" t="str">
        <f>IF(ISBLANK(Analysis[[#This Row],[Supply Item]]), "", VLOOKUP(Analysis[[#This Row],[Supply Item]], Analysis[], COLUMN(Analysis[ComponentID])-COLUMN(Analysis[])+1, FALSE))</f>
        <v/>
      </c>
      <c r="E26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6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G26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/>
      </c>
      <c r="H26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6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/>
      </c>
      <c r="J26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6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/>
      </c>
      <c r="L26" s="14" t="str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/>
      </c>
      <c r="M26" s="14" t="str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/>
      </c>
      <c r="N26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/>
      </c>
      <c r="O26" s="14" t="str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/>
      </c>
      <c r="P26" s="14" t="str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/>
      </c>
    </row>
    <row r="27" spans="1:16" x14ac:dyDescent="0.25">
      <c r="A27" s="10"/>
      <c r="B27" s="10"/>
      <c r="C27" s="13"/>
      <c r="D27" s="2" t="str">
        <f>IF(ISBLANK(Analysis[[#This Row],[Supply Item]]), "", VLOOKUP(Analysis[[#This Row],[Supply Item]], Analysis[], COLUMN(Analysis[ComponentID])-COLUMN(Analysis[])+1, FALSE))</f>
        <v/>
      </c>
      <c r="E27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7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G27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/>
      </c>
      <c r="H27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7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/>
      </c>
      <c r="J27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7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/>
      </c>
      <c r="L27" s="14" t="str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/>
      </c>
      <c r="M27" s="14" t="str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/>
      </c>
      <c r="N27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/>
      </c>
      <c r="O27" s="14" t="str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/>
      </c>
      <c r="P27" s="14" t="str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/>
      </c>
    </row>
    <row r="28" spans="1:16" x14ac:dyDescent="0.25">
      <c r="A28" s="10"/>
      <c r="B28" s="10"/>
      <c r="C28" s="13"/>
      <c r="D28" s="2" t="str">
        <f>IF(ISBLANK(Analysis[[#This Row],[Supply Item]]), "", VLOOKUP(Analysis[[#This Row],[Supply Item]], Analysis[], COLUMN(Analysis[ComponentID])-COLUMN(Analysis[])+1, FALSE))</f>
        <v/>
      </c>
      <c r="E28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8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G28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/>
      </c>
      <c r="H28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8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/>
      </c>
      <c r="J28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8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/>
      </c>
      <c r="L28" s="14" t="str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/>
      </c>
      <c r="M28" s="14" t="str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/>
      </c>
      <c r="N28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/>
      </c>
      <c r="O28" s="14" t="str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/>
      </c>
      <c r="P28" s="14" t="str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/>
      </c>
    </row>
    <row r="29" spans="1:16" x14ac:dyDescent="0.25">
      <c r="A29" s="10"/>
      <c r="B29" s="10"/>
      <c r="C29" s="13"/>
      <c r="D29" s="2" t="str">
        <f>IF(ISBLANK(Analysis[[#This Row],[Supply Item]]), "", VLOOKUP(Analysis[[#This Row],[Supply Item]], Analysis[], COLUMN(Analysis[ComponentID])-COLUMN(Analysis[])+1, FALSE))</f>
        <v/>
      </c>
      <c r="E29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9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G29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/>
      </c>
      <c r="H29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29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/>
      </c>
      <c r="J29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29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/>
      </c>
      <c r="L29" s="14" t="str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/>
      </c>
      <c r="M29" s="14" t="str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/>
      </c>
      <c r="N29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/>
      </c>
      <c r="O29" s="14" t="str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/>
      </c>
      <c r="P29" s="14" t="str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/>
      </c>
    </row>
    <row r="30" spans="1:16" x14ac:dyDescent="0.25">
      <c r="A30" s="10"/>
      <c r="B30" s="10"/>
      <c r="C30" s="13"/>
      <c r="D30" s="2" t="str">
        <f>IF(ISBLANK(Analysis[[#This Row],[Supply Item]]), "", VLOOKUP(Analysis[[#This Row],[Supply Item]], Analysis[], COLUMN(Analysis[ComponentID])-COLUMN(Analysis[])+1, FALSE))</f>
        <v/>
      </c>
      <c r="E30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30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G30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Peak Consumption (W)]]/Analysis[[#This Row],[Input (V)]])</f>
        <v/>
      </c>
      <c r="H30" s="14" t="str">
        <f>IF(OR(ISBLANK(Analysis[[#This Row],[ItemID]]), Analysis[[#This Row],[ItemID]]="", ISBLANK(Analysis[[#This Row],[ComponentID]]), Analysis[[#This Row],[ComponentID]]="", Analysis[[#This Row],[Output (V)]]&lt;=0), "", Analysis[[#This Row],[Children Peak Consumption (W)]]/Analysis[[#This Row],[Output (V)]])</f>
        <v/>
      </c>
      <c r="I30" s="14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(V)]]&lt;=0), "", Analysis[[#This Row],[Total Constant Consumption (W)]]/Analysis[[#This Row],[Input (V)]])</f>
        <v/>
      </c>
      <c r="J30" s="14" t="str">
        <f>IF(OR(ISBLANK(Analysis[[#This Row],[ItemID]]), Analysis[[#This Row],[ItemID]]="", ISBLANK(Analysis[[#This Row],[ComponentID]]), Analysis[[#This Row],[ComponentID]]="", Analysis[[#This Row],[Output (V)]]&lt;=0), "", Analysis[[#This Row],[Children Constant Consumption (W)]]/Analysis[[#This Row],[Output (V)]])</f>
        <v/>
      </c>
      <c r="K30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COLUMN(ComponentData[Peak Consumption (W)])-COLUMN(ComponentData[])+1, FALSE))</f>
        <v/>
      </c>
      <c r="L30" s="14" t="str">
        <f>IF(OR(ISBLANK(Analysis[[#This Row],[ItemID]]), Analysis[[#This Row],[ItemID]]="", ISBLANK(Analysis[[#This Row],[ComponentID]]), Analysis[[#This Row],[ComponentID]]=""), "", SUMIFS(Analysis[Total Peak Consumption (W)], Analysis[Supply Item], Analysis[[#This Row],[ItemID]]))</f>
        <v/>
      </c>
      <c r="M30" s="14" t="str">
        <f>IF(OR(ISBLANK(Analysis[[#This Row],[ItemID]]), Analysis[[#This Row],[ItemID]]="", ISBLANK(Analysis[[#This Row],[ComponentID]]), Analysis[[#This Row],[ComponentID]]=""), "", Analysis[[#This Row],[Self Peak Consumption (W)]]+Analysis[[#This Row],[Children Peak Consumption (W)]])</f>
        <v/>
      </c>
      <c r="N30" s="14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COLUMN(ComponentData[Constant Consumption (W)])-COLUMN(ComponentData[])+1, FALSE))</f>
        <v/>
      </c>
      <c r="O30" s="14" t="str">
        <f>IF(OR(ISBLANK(Analysis[[#This Row],[ItemID]]), Analysis[[#This Row],[ItemID]]="", ISBLANK(Analysis[[#This Row],[ComponentID]]), Analysis[[#This Row],[ComponentID]]=""), "", SUMIFS(Analysis[Total Constant Consumption (W)], Analysis[Supply Item], Analysis[[#This Row],[ItemID]]))</f>
        <v/>
      </c>
      <c r="P30" s="14" t="str">
        <f>IF(OR(ISBLANK(Analysis[[#This Row],[ItemID]]), Analysis[[#This Row],[ItemID]]="", ISBLANK(Analysis[[#This Row],[ComponentID]]), Analysis[[#This Row],[ComponentID]]=""), "", Analysis[[#This Row],[Self Constant Consumption (W)]]+Analysis[[#This Row],[Children Constant Consumption (W)]])</f>
        <v/>
      </c>
    </row>
  </sheetData>
  <dataValidations count="2">
    <dataValidation type="list" allowBlank="1" showInputMessage="1" showErrorMessage="1" sqref="C2:C7 C9:C30">
      <formula1>ItemIDs</formula1>
    </dataValidation>
    <dataValidation type="list" allowBlank="1" showInputMessage="1" showErrorMessage="1" sqref="B2:B30">
      <formula1>ComponentIDs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J10" sqref="J10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17.5703125" bestFit="1" customWidth="1"/>
    <col min="4" max="4" width="21.28515625" bestFit="1" customWidth="1"/>
    <col min="5" max="5" width="18.140625" bestFit="1" customWidth="1"/>
    <col min="8" max="8" width="12.28515625" customWidth="1"/>
    <col min="9" max="9" width="11.28515625" customWidth="1"/>
    <col min="11" max="11" width="9.140625" customWidth="1"/>
    <col min="12" max="12" width="13.28515625" bestFit="1" customWidth="1"/>
    <col min="13" max="13" width="13.85546875" bestFit="1" customWidth="1"/>
    <col min="14" max="14" width="12.85546875" bestFit="1" customWidth="1"/>
  </cols>
  <sheetData>
    <row r="1" spans="1:15" x14ac:dyDescent="0.25">
      <c r="A1" t="s">
        <v>12</v>
      </c>
      <c r="B1" t="s">
        <v>1</v>
      </c>
      <c r="C1" t="s">
        <v>90</v>
      </c>
      <c r="D1" t="s">
        <v>89</v>
      </c>
      <c r="E1" t="s">
        <v>38</v>
      </c>
      <c r="L1" t="s">
        <v>57</v>
      </c>
      <c r="M1" t="s">
        <v>58</v>
      </c>
      <c r="N1" t="s">
        <v>59</v>
      </c>
      <c r="O1" t="s">
        <v>60</v>
      </c>
    </row>
    <row r="2" spans="1:15" x14ac:dyDescent="0.25">
      <c r="A2" t="str">
        <f>IF(IFERROR(Analysis[[#This Row],[ItemID]], 0)=0, "", Analysis[[#This Row],[ItemID]])</f>
        <v>Battery Pack</v>
      </c>
      <c r="B2" t="str">
        <f>IF(OR(ISBLANK(Results[[#This Row],[ItemID]]), Results[[#This Row],[ItemID]]=""), "", VLOOKUP(Analysis[[#This Row],[ItemID]], Analysis[], COLUMN(Analysis[ComponentID])-COLUMN(Analysis[])+1, FALSE))</f>
        <v>LiPo</v>
      </c>
      <c r="C2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0.67657291666666663</v>
      </c>
      <c r="D2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0.47657291666666673</v>
      </c>
      <c r="E2" s="5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>5.2457869773338279</v>
      </c>
      <c r="L2" t="s">
        <v>15</v>
      </c>
      <c r="M2">
        <f>IF(ISBLANK(RailSummary[[#This Row],[Power Rail]]), "", VLOOKUP(RailSummary[[#This Row],[Power Rail]], Analysis[], COLUMN(Analysis[Output (V)])-COLUMN(Analysis[])+1, FALSE))</f>
        <v>24</v>
      </c>
      <c r="N2" s="5">
        <f>IF(ISBLANK(RailSummary[[#This Row],[Power Rail]]), "", VLOOKUP(RailSummary[[#This Row],[Power Rail]], Analysis[], COLUMN(Analysis[Peak Output (A)])-COLUMN(Analysis[])+1, FALSE))</f>
        <v>270.62916666666666</v>
      </c>
      <c r="O2" s="4">
        <f>IF(ISBLANK(RailSummary[[#This Row],[Power Rail]]), "", RailSummary[[#This Row],[Voltage (V)]]*RailSummary[[#This Row],[Current (W)]])</f>
        <v>6495.1</v>
      </c>
    </row>
    <row r="3" spans="1:15" x14ac:dyDescent="0.25">
      <c r="A3" t="str">
        <f>IF(IFERROR(Analysis[[#This Row],[ItemID]], 0)=0, "", Analysis[[#This Row],[ItemID]])</f>
        <v>Logic Supply</v>
      </c>
      <c r="B3" t="str">
        <f>IF(OR(ISBLANK(Results[[#This Row],[ItemID]]), Results[[#This Row],[ItemID]]=""), "", VLOOKUP(Analysis[[#This Row],[ItemID]], Analysis[], COLUMN(Analysis[ComponentID])-COLUMN(Analysis[])+1, FALSE))</f>
        <v>5V Regulator</v>
      </c>
      <c r="C3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0.13999999999999999</v>
      </c>
      <c r="D3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0.13999999999999999</v>
      </c>
      <c r="E3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  <c r="H3" t="s">
        <v>41</v>
      </c>
      <c r="I3" s="16" t="str">
        <f>IF(COUNTIF(Results[Constant % Capacity], "&gt;1")=0, IF(COUNTIF(Results[Peak % Capacity], "&gt;1")=0, "GO", "MAYBE"), "HOLD")</f>
        <v>MAYBE</v>
      </c>
      <c r="L3" t="s">
        <v>53</v>
      </c>
      <c r="M3">
        <f>IF(ISBLANK(RailSummary[[#This Row],[Power Rail]]), "", VLOOKUP(RailSummary[[#This Row],[Power Rail]], Analysis[], COLUMN(Analysis[Output (V)])-COLUMN(Analysis[])+1, FALSE))</f>
        <v>24</v>
      </c>
      <c r="N3" s="5">
        <f>IF(ISBLANK(RailSummary[[#This Row],[Power Rail]]), "", VLOOKUP(RailSummary[[#This Row],[Power Rail]], Analysis[], COLUMN(Analysis[Peak Output (A)])-COLUMN(Analysis[])+1, FALSE))</f>
        <v>0.33333333333333331</v>
      </c>
      <c r="O3" s="4">
        <f>IF(ISBLANK(RailSummary[[#This Row],[Power Rail]]), "", RailSummary[[#This Row],[Voltage (V)]]*RailSummary[[#This Row],[Current (W)]])</f>
        <v>8</v>
      </c>
    </row>
    <row r="4" spans="1:15" x14ac:dyDescent="0.25">
      <c r="A4" t="str">
        <f>IF(IFERROR(Analysis[[#This Row],[ItemID]], 0)=0, "", Analysis[[#This Row],[ItemID]])</f>
        <v>Master Control</v>
      </c>
      <c r="B4" t="str">
        <f>IF(OR(ISBLANK(Results[[#This Row],[ItemID]]), Results[[#This Row],[ItemID]]=""), "", VLOOKUP(Analysis[[#This Row],[ItemID]], Analysis[], COLUMN(Analysis[ComponentID])-COLUMN(Analysis[])+1, FALSE))</f>
        <v>Raspberry Pi</v>
      </c>
      <c r="C4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0</v>
      </c>
      <c r="D4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</v>
      </c>
      <c r="E4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  <c r="H4" t="s">
        <v>91</v>
      </c>
      <c r="I4" s="17" t="str">
        <f>CONCATENATE(TEXT(INT(MIN(Results[Battery Life (hrs)])), "#"),":",TEXT(MOD(MIN(Results[Battery Life (hrs)]), 1)*60, "0#"))</f>
        <v>5:15</v>
      </c>
      <c r="L4" t="s">
        <v>34</v>
      </c>
      <c r="M4">
        <f>IF(ISBLANK(RailSummary[[#This Row],[Power Rail]]), "", VLOOKUP(RailSummary[[#This Row],[Power Rail]], Analysis[], COLUMN(Analysis[Output (V)])-COLUMN(Analysis[])+1, FALSE))</f>
        <v>5</v>
      </c>
      <c r="N4" s="5">
        <f>IF(ISBLANK(RailSummary[[#This Row],[Power Rail]]), "", VLOOKUP(RailSummary[[#This Row],[Power Rail]], Analysis[], COLUMN(Analysis[Peak Output (A)])-COLUMN(Analysis[])+1, FALSE))</f>
        <v>1.4</v>
      </c>
      <c r="O4" s="4">
        <f>IF(ISBLANK(RailSummary[[#This Row],[Power Rail]]), "", RailSummary[[#This Row],[Voltage (V)]]*RailSummary[[#This Row],[Current (W)]])</f>
        <v>7</v>
      </c>
    </row>
    <row r="5" spans="1:15" x14ac:dyDescent="0.25">
      <c r="A5" t="str">
        <f>IF(IFERROR(Analysis[[#This Row],[ItemID]], 0)=0, "", Analysis[[#This Row],[ItemID]])</f>
        <v>Comms Power</v>
      </c>
      <c r="B5" t="str">
        <f>IF(OR(ISBLANK(Results[[#This Row],[ItemID]]), Results[[#This Row],[ItemID]]=""), "", VLOOKUP(Analysis[[#This Row],[ItemID]], Analysis[], COLUMN(Analysis[ComponentID])-COLUMN(Analysis[])+1, FALSE))</f>
        <v>POE Injector</v>
      </c>
      <c r="C5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0.33333333333333331</v>
      </c>
      <c r="D5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0.33333333333333331</v>
      </c>
      <c r="E5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  <c r="L5" t="s">
        <v>43</v>
      </c>
      <c r="M5">
        <f>IF(ISBLANK(RailSummary[[#This Row],[Power Rail]]), "", VLOOKUP(RailSummary[[#This Row],[Power Rail]], Analysis[], COLUMN(Analysis[Output (V)])-COLUMN(Analysis[])+1, FALSE))</f>
        <v>12</v>
      </c>
      <c r="N5" s="5">
        <f>IF(ISBLANK(RailSummary[[#This Row],[Power Rail]]), "", VLOOKUP(RailSummary[[#This Row],[Power Rail]], Analysis[], COLUMN(Analysis[Peak Output (A)])-COLUMN(Analysis[])+1, FALSE))</f>
        <v>540.38333333333333</v>
      </c>
      <c r="O5" s="4">
        <f>IF(ISBLANK(RailSummary[[#This Row],[Power Rail]]), "", RailSummary[[#This Row],[Voltage (V)]]*RailSummary[[#This Row],[Current (W)]])</f>
        <v>6484.6</v>
      </c>
    </row>
    <row r="6" spans="1:15" x14ac:dyDescent="0.25">
      <c r="A6" t="str">
        <f>IF(IFERROR(Analysis[[#This Row],[ItemID]], 0)=0, "", Analysis[[#This Row],[ItemID]])</f>
        <v>Transceiver</v>
      </c>
      <c r="B6" t="str">
        <f>IF(OR(ISBLANK(Results[[#This Row],[ItemID]]), Results[[#This Row],[ItemID]]=""), "", VLOOKUP(Analysis[[#This Row],[ItemID]], Analysis[], COLUMN(Analysis[ComponentID])-COLUMN(Analysis[])+1, FALSE))</f>
        <v>RM3</v>
      </c>
      <c r="C6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0.3125</v>
      </c>
      <c r="D6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0.3125</v>
      </c>
      <c r="E6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  <c r="M6" t="str">
        <f>IF(ISBLANK(RailSummary[[#This Row],[Power Rail]]), "", VLOOKUP(RailSummary[[#This Row],[Power Rail]], Analysis[], COLUMN(Analysis[Output (V)])-COLUMN(Analysis[])+1, FALSE))</f>
        <v/>
      </c>
      <c r="N6" s="5" t="str">
        <f>IF(ISBLANK(RailSummary[[#This Row],[Power Rail]]), "", VLOOKUP(RailSummary[[#This Row],[Power Rail]], Analysis[], COLUMN(Analysis[Peak Output (A)])-COLUMN(Analysis[])+1, FALSE))</f>
        <v/>
      </c>
      <c r="O6" s="4" t="str">
        <f>IF(ISBLANK(RailSummary[[#This Row],[Power Rail]]), "", RailSummary[[#This Row],[Voltage (V)]]*RailSummary[[#This Row],[Current (W)]])</f>
        <v/>
      </c>
    </row>
    <row r="7" spans="1:15" x14ac:dyDescent="0.25">
      <c r="A7" t="str">
        <f>IF(IFERROR(Analysis[[#This Row],[ItemID]], 0)=0, "", Analysis[[#This Row],[ItemID]])</f>
        <v>Antenna</v>
      </c>
      <c r="B7" t="str">
        <f>IF(OR(ISBLANK(Results[[#This Row],[ItemID]]), Results[[#This Row],[ItemID]]=""), "", VLOOKUP(Analysis[[#This Row],[ItemID]], Analysis[], COLUMN(Analysis[ComponentID])-COLUMN(Analysis[])+1, FALSE))</f>
        <v>3GHz Antenna</v>
      </c>
      <c r="C7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7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7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  <c r="G7" s="18"/>
      <c r="H7" s="18"/>
      <c r="M7" t="str">
        <f>IF(ISBLANK(RailSummary[[#This Row],[Power Rail]]), "", VLOOKUP(RailSummary[[#This Row],[Power Rail]], Analysis[], COLUMN(Analysis[Output (V)])-COLUMN(Analysis[])+1, FALSE))</f>
        <v/>
      </c>
      <c r="N7" s="5" t="str">
        <f>IF(ISBLANK(RailSummary[[#This Row],[Power Rail]]), "", VLOOKUP(RailSummary[[#This Row],[Power Rail]], Analysis[], COLUMN(Analysis[Peak Output (A)])-COLUMN(Analysis[])+1, FALSE))</f>
        <v/>
      </c>
      <c r="O7" s="4" t="str">
        <f>IF(ISBLANK(RailSummary[[#This Row],[Power Rail]]), "", RailSummary[[#This Row],[Voltage (V)]]*RailSummary[[#This Row],[Current (W)]])</f>
        <v/>
      </c>
    </row>
    <row r="8" spans="1:15" x14ac:dyDescent="0.25">
      <c r="A8" t="str">
        <f>IF(IFERROR(Analysis[[#This Row],[ItemID]], 0)=0, "", Analysis[[#This Row],[ItemID]])</f>
        <v>Dirty Power</v>
      </c>
      <c r="B8" t="str">
        <f>IF(OR(ISBLANK(Results[[#This Row],[ItemID]]), Results[[#This Row],[ItemID]]=""), "", VLOOKUP(Analysis[[#This Row],[ItemID]], Analysis[], COLUMN(Analysis[ComponentID])-COLUMN(Analysis[])+1, FALSE))</f>
        <v>12V Regulator</v>
      </c>
      <c r="C8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0.98251515151515145</v>
      </c>
      <c r="D8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0.69160606060606067</v>
      </c>
      <c r="E8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  <c r="M8" t="str">
        <f>IF(ISBLANK(RailSummary[[#This Row],[Power Rail]]), "", VLOOKUP(RailSummary[[#This Row],[Power Rail]], Analysis[], COLUMN(Analysis[Output (V)])-COLUMN(Analysis[])+1, FALSE))</f>
        <v/>
      </c>
      <c r="N8" s="5" t="str">
        <f>IF(ISBLANK(RailSummary[[#This Row],[Power Rail]]), "", VLOOKUP(RailSummary[[#This Row],[Power Rail]], Analysis[], COLUMN(Analysis[Peak Output (A)])-COLUMN(Analysis[])+1, FALSE))</f>
        <v/>
      </c>
      <c r="O8" s="4" t="str">
        <f>IF(ISBLANK(RailSummary[[#This Row],[Power Rail]]), "", RailSummary[[#This Row],[Voltage (V)]]*RailSummary[[#This Row],[Current (W)]])</f>
        <v/>
      </c>
    </row>
    <row r="9" spans="1:15" x14ac:dyDescent="0.25">
      <c r="A9" t="str">
        <f>IF(IFERROR(Analysis[[#This Row],[ItemID]], 0)=0, "", Analysis[[#This Row],[ItemID]])</f>
        <v>FrontRight ESC</v>
      </c>
      <c r="B9" t="str">
        <f>IF(OR(ISBLANK(Results[[#This Row],[ItemID]]), Results[[#This Row],[ItemID]]=""), "", VLOOKUP(Analysis[[#This Row],[ItemID]], Analysis[], COLUMN(Analysis[ComponentID])-COLUMN(Analysis[])+1, FALSE))</f>
        <v>VEX ESC</v>
      </c>
      <c r="C9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1.4166666666666667</v>
      </c>
      <c r="D9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0.97222222222222221</v>
      </c>
      <c r="E9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0" spans="1:15" x14ac:dyDescent="0.25">
      <c r="A10" t="str">
        <f>IF(IFERROR(Analysis[[#This Row],[ItemID]], 0)=0, "", Analysis[[#This Row],[ItemID]])</f>
        <v>FrontRight Motor</v>
      </c>
      <c r="B10" t="str">
        <f>IF(OR(ISBLANK(Results[[#This Row],[ItemID]]), Results[[#This Row],[ItemID]]=""), "", VLOOKUP(Analysis[[#This Row],[ItemID]], Analysis[], COLUMN(Analysis[ComponentID])-COLUMN(Analysis[])+1, FALSE))</f>
        <v>Wheel Motor</v>
      </c>
      <c r="C10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10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10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1" spans="1:15" x14ac:dyDescent="0.25">
      <c r="A11" t="str">
        <f>IF(IFERROR(Analysis[[#This Row],[ItemID]], 0)=0, "", Analysis[[#This Row],[ItemID]])</f>
        <v>MidRight ESC</v>
      </c>
      <c r="B11" t="str">
        <f>IF(OR(ISBLANK(Results[[#This Row],[ItemID]]), Results[[#This Row],[ItemID]]=""), "", VLOOKUP(Analysis[[#This Row],[ItemID]], Analysis[], COLUMN(Analysis[ComponentID])-COLUMN(Analysis[])+1, FALSE))</f>
        <v>VEX ESC</v>
      </c>
      <c r="C11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1.4166666666666667</v>
      </c>
      <c r="D11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0.97222222222222221</v>
      </c>
      <c r="E11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2" spans="1:15" x14ac:dyDescent="0.25">
      <c r="A12" t="str">
        <f>IF(IFERROR(Analysis[[#This Row],[ItemID]], 0)=0, "", Analysis[[#This Row],[ItemID]])</f>
        <v>MidRight Motor</v>
      </c>
      <c r="B12" t="str">
        <f>IF(OR(ISBLANK(Results[[#This Row],[ItemID]]), Results[[#This Row],[ItemID]]=""), "", VLOOKUP(Analysis[[#This Row],[ItemID]], Analysis[], COLUMN(Analysis[ComponentID])-COLUMN(Analysis[])+1, FALSE))</f>
        <v>Wheel Motor</v>
      </c>
      <c r="C12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12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12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3" spans="1:15" x14ac:dyDescent="0.25">
      <c r="A13" t="str">
        <f>IF(IFERROR(Analysis[[#This Row],[ItemID]], 0)=0, "", Analysis[[#This Row],[ItemID]])</f>
        <v>BackRight ESC</v>
      </c>
      <c r="B13" t="str">
        <f>IF(OR(ISBLANK(Results[[#This Row],[ItemID]]), Results[[#This Row],[ItemID]]=""), "", VLOOKUP(Analysis[[#This Row],[ItemID]], Analysis[], COLUMN(Analysis[ComponentID])-COLUMN(Analysis[])+1, FALSE))</f>
        <v>VEX ESC</v>
      </c>
      <c r="C13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1.4166666666666667</v>
      </c>
      <c r="D13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0.97222222222222221</v>
      </c>
      <c r="E13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4" spans="1:15" x14ac:dyDescent="0.25">
      <c r="A14" t="str">
        <f>IF(IFERROR(Analysis[[#This Row],[ItemID]], 0)=0, "", Analysis[[#This Row],[ItemID]])</f>
        <v>BackRight Motor</v>
      </c>
      <c r="B14" t="str">
        <f>IF(OR(ISBLANK(Results[[#This Row],[ItemID]]), Results[[#This Row],[ItemID]]=""), "", VLOOKUP(Analysis[[#This Row],[ItemID]], Analysis[], COLUMN(Analysis[ComponentID])-COLUMN(Analysis[])+1, FALSE))</f>
        <v>Wheel Motor</v>
      </c>
      <c r="C14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14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14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5" spans="1:15" x14ac:dyDescent="0.25">
      <c r="A15" t="str">
        <f>IF(IFERROR(Analysis[[#This Row],[ItemID]], 0)=0, "", Analysis[[#This Row],[ItemID]])</f>
        <v>FrontLeft ESC</v>
      </c>
      <c r="B15" s="1" t="str">
        <f>IF(OR(ISBLANK(Results[[#This Row],[ItemID]]), Results[[#This Row],[ItemID]]=""), "", VLOOKUP(Analysis[[#This Row],[ItemID]], Analysis[], COLUMN(Analysis[ComponentID])-COLUMN(Analysis[])+1, FALSE))</f>
        <v>VEX ESC</v>
      </c>
      <c r="C15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1.4166666666666667</v>
      </c>
      <c r="D15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0.97222222222222221</v>
      </c>
      <c r="E15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6" spans="1:15" x14ac:dyDescent="0.25">
      <c r="A16" t="str">
        <f>IF(IFERROR(Analysis[[#This Row],[ItemID]], 0)=0, "", Analysis[[#This Row],[ItemID]])</f>
        <v>FrontLeft Motor</v>
      </c>
      <c r="B16" s="1" t="str">
        <f>IF(OR(ISBLANK(Results[[#This Row],[ItemID]]), Results[[#This Row],[ItemID]]=""), "", VLOOKUP(Analysis[[#This Row],[ItemID]], Analysis[], COLUMN(Analysis[ComponentID])-COLUMN(Analysis[])+1, FALSE))</f>
        <v>Wheel Motor</v>
      </c>
      <c r="C16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16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16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7" spans="1:5" x14ac:dyDescent="0.25">
      <c r="A17" t="str">
        <f>IF(IFERROR(Analysis[[#This Row],[ItemID]], 0)=0, "", Analysis[[#This Row],[ItemID]])</f>
        <v>MidLeft ESC</v>
      </c>
      <c r="B17" s="1" t="str">
        <f>IF(OR(ISBLANK(Results[[#This Row],[ItemID]]), Results[[#This Row],[ItemID]]=""), "", VLOOKUP(Analysis[[#This Row],[ItemID]], Analysis[], COLUMN(Analysis[ComponentID])-COLUMN(Analysis[])+1, FALSE))</f>
        <v>VEX ESC</v>
      </c>
      <c r="C17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1.4166666666666667</v>
      </c>
      <c r="D17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0.97222222222222221</v>
      </c>
      <c r="E17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8" spans="1:5" x14ac:dyDescent="0.25">
      <c r="A18" t="str">
        <f>IF(IFERROR(Analysis[[#This Row],[ItemID]], 0)=0, "", Analysis[[#This Row],[ItemID]])</f>
        <v>MidLeft Motor</v>
      </c>
      <c r="B18" s="1" t="str">
        <f>IF(OR(ISBLANK(Results[[#This Row],[ItemID]]), Results[[#This Row],[ItemID]]=""), "", VLOOKUP(Analysis[[#This Row],[ItemID]], Analysis[], COLUMN(Analysis[ComponentID])-COLUMN(Analysis[])+1, FALSE))</f>
        <v>Wheel Motor</v>
      </c>
      <c r="C18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18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18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19" spans="1:5" x14ac:dyDescent="0.25">
      <c r="A19" t="str">
        <f>IF(IFERROR(Analysis[[#This Row],[ItemID]], 0)=0, "", Analysis[[#This Row],[ItemID]])</f>
        <v>BackLeft ESC</v>
      </c>
      <c r="B19" s="1" t="str">
        <f>IF(OR(ISBLANK(Results[[#This Row],[ItemID]]), Results[[#This Row],[ItemID]]=""), "", VLOOKUP(Analysis[[#This Row],[ItemID]], Analysis[], COLUMN(Analysis[ComponentID])-COLUMN(Analysis[])+1, FALSE))</f>
        <v>VEX ESC</v>
      </c>
      <c r="C19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>1.4166666666666667</v>
      </c>
      <c r="D19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>0.97222222222222221</v>
      </c>
      <c r="E19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0" spans="1:5" x14ac:dyDescent="0.25">
      <c r="A20" t="str">
        <f>IF(IFERROR(Analysis[[#This Row],[ItemID]], 0)=0, "", Analysis[[#This Row],[ItemID]])</f>
        <v>BackLeft Motor</v>
      </c>
      <c r="B20" s="1" t="str">
        <f>IF(OR(ISBLANK(Results[[#This Row],[ItemID]]), Results[[#This Row],[ItemID]]=""), "", VLOOKUP(Analysis[[#This Row],[ItemID]], Analysis[], COLUMN(Analysis[ComponentID])-COLUMN(Analysis[])+1, FALSE))</f>
        <v>Wheel Motor</v>
      </c>
      <c r="C20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0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0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1" spans="1:5" x14ac:dyDescent="0.25">
      <c r="A21" t="str">
        <f>IF(IFERROR(Analysis[[#This Row],[ItemID]], 0)=0, "", Analysis[[#This Row],[ItemID]])</f>
        <v>Shoulder Motor</v>
      </c>
      <c r="B21" s="1" t="str">
        <f>IF(OR(ISBLANK(Results[[#This Row],[ItemID]]), Results[[#This Row],[ItemID]]=""), "", VLOOKUP(Analysis[[#This Row],[ItemID]], Analysis[], COLUMN(Analysis[ComponentID])-COLUMN(Analysis[])+1, FALSE))</f>
        <v>12RPM Motor</v>
      </c>
      <c r="C21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1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1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2" spans="1:5" x14ac:dyDescent="0.25">
      <c r="A22" t="str">
        <f>IF(IFERROR(Analysis[[#This Row],[ItemID]], 0)=0, "", Analysis[[#This Row],[ItemID]])</f>
        <v>Base Motor</v>
      </c>
      <c r="B22" s="1" t="str">
        <f>IF(OR(ISBLANK(Results[[#This Row],[ItemID]]), Results[[#This Row],[ItemID]]=""), "", VLOOKUP(Analysis[[#This Row],[ItemID]], Analysis[], COLUMN(Analysis[ComponentID])-COLUMN(Analysis[])+1, FALSE))</f>
        <v>26RPM Motor</v>
      </c>
      <c r="C22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2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2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3" spans="1:5" x14ac:dyDescent="0.25">
      <c r="A23" t="str">
        <f>IF(IFERROR(Analysis[[#This Row],[ItemID]], 0)=0, "", Analysis[[#This Row],[ItemID]])</f>
        <v>Upper Limb Motor</v>
      </c>
      <c r="B23" s="1" t="str">
        <f>IF(OR(ISBLANK(Results[[#This Row],[ItemID]]), Results[[#This Row],[ItemID]]=""), "", VLOOKUP(Analysis[[#This Row],[ItemID]], Analysis[], COLUMN(Analysis[ComponentID])-COLUMN(Analysis[])+1, FALSE))</f>
        <v>26RPM Motor</v>
      </c>
      <c r="C23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3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3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4" spans="1:5" x14ac:dyDescent="0.25">
      <c r="A24" t="str">
        <f>IF(IFERROR(Analysis[[#This Row],[ItemID]], 0)=0, "", Analysis[[#This Row],[ItemID]])</f>
        <v/>
      </c>
      <c r="B24" s="1" t="str">
        <f>IF(OR(ISBLANK(Results[[#This Row],[ItemID]]), Results[[#This Row],[ItemID]]=""), "", VLOOKUP(Analysis[[#This Row],[ItemID]], Analysis[], COLUMN(Analysis[ComponentID])-COLUMN(Analysis[])+1, FALSE))</f>
        <v/>
      </c>
      <c r="C24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4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4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5" spans="1:5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Row],[ItemID]]=""), "", VLOOKUP(Analysis[[#This Row],[ItemID]], Analysis[], COLUMN(Analysis[ComponentID])-COLUMN(Analysis[])+1, FALSE))</f>
        <v/>
      </c>
      <c r="C25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5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5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6" spans="1:5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Row],[ItemID]]=""), "", VLOOKUP(Analysis[[#This Row],[ItemID]], Analysis[], COLUMN(Analysis[ComponentID])-COLUMN(Analysis[])+1, FALSE))</f>
        <v/>
      </c>
      <c r="C26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6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6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7" spans="1:5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Row],[ItemID]]=""), "", VLOOKUP(Analysis[[#This Row],[ItemID]], Analysis[], COLUMN(Analysis[ComponentID])-COLUMN(Analysis[])+1, FALSE))</f>
        <v/>
      </c>
      <c r="C27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7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7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8" spans="1:5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Row],[ItemID]]=""), "", VLOOKUP(Analysis[[#This Row],[ItemID]], Analysis[], COLUMN(Analysis[ComponentID])-COLUMN(Analysis[])+1, FALSE))</f>
        <v/>
      </c>
      <c r="C28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8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8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29" spans="1:5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Row],[ItemID]]=""), "", VLOOKUP(Analysis[[#This Row],[ItemID]], Analysis[], COLUMN(Analysis[ComponentID])-COLUMN(Analysis[])+1, FALSE))</f>
        <v/>
      </c>
      <c r="C29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29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29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  <row r="30" spans="1:5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Row],[ItemID]]=""), "", VLOOKUP(Analysis[[#This Row],[ItemID]], Analysis[], COLUMN(Analysis[ComponentID])-COLUMN(Analysis[])+1, FALSE))</f>
        <v/>
      </c>
      <c r="C30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COLUMN(Analysis[Peak Output (A)])-COLUMN(Analysis[])+1, FALSE)/VLOOKUP(Results[[#This Row],[Component]], ComponentData[], COLUMN(ComponentData[Output (A)])-COLUMN(ComponentData[])+1, FALSE), IF(AND(VLOOKUP(Results[[#This Row],[ItemID]], Analysis[], COLUMN(Analysis[Peak Output (A)])-COLUMN(Analysis[])+1, FALSE)&gt;0, NOT(ISTEXT(VLOOKUP(Results[[#This Row],[ItemID]], Analysis[], COLUMN(Analysis[Peak Output (A)])-COLUMN(Analysis[])+1, FALSE)))), 99999.9999, "")))</f>
        <v/>
      </c>
      <c r="D30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COLUMN(Analysis[Constant Output (A)])-COLUMN(Analysis[])+1, FALSE)/VLOOKUP(Results[[#This Row],[Component]], ComponentData[], COLUMN(ComponentData[Output (A)])-COLUMN(ComponentData[])+1, FALSE), IF(AND(VLOOKUP(Results[[#This Row],[ItemID]], Analysis[], COLUMN(Analysis[Constant Output (A)])-COLUMN(Analysis[])+1, FALSE)&gt;0, NOT(ISTEXT(VLOOKUP(Results[[#This Row],[ItemID]], Analysis[], COLUMN(Analysis[Constant Output (A)])-COLUMN(Analysis[])+1, FALSE)))), 99999.9999, "")))</f>
        <v/>
      </c>
      <c r="E30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COLUMN(Analysis[Constant Output (A)])-COLUMN(Analysis[])+1, FALSE)), ""))</f>
        <v/>
      </c>
    </row>
  </sheetData>
  <conditionalFormatting sqref="C2:C30">
    <cfRule type="colorScale" priority="5">
      <colorScale>
        <cfvo type="num" val="0"/>
        <cfvo type="num" val="0.99"/>
        <cfvo type="num" val="1"/>
        <color theme="9"/>
        <color rgb="FFFFB985"/>
        <color rgb="FFFF0000"/>
      </colorScale>
    </cfRule>
  </conditionalFormatting>
  <conditionalFormatting sqref="I3">
    <cfRule type="expression" dxfId="3" priority="3">
      <formula>INDIRECT(ADDRESS(ROW(), COLUMN()))="MAYBE"</formula>
    </cfRule>
    <cfRule type="expression" dxfId="4" priority="4">
      <formula>INDIRECT(ADDRESS(ROW(), COLUMN()))="GO"</formula>
    </cfRule>
    <cfRule type="expression" dxfId="2" priority="1">
      <formula>INDIRECT(ADDRESS(ROW(), COLUMN()))="HOLD"</formula>
    </cfRule>
  </conditionalFormatting>
  <conditionalFormatting sqref="D2:D30">
    <cfRule type="colorScale" priority="2">
      <colorScale>
        <cfvo type="num" val="0"/>
        <cfvo type="num" val="0.99"/>
        <cfvo type="num" val="1"/>
        <color theme="9"/>
        <color rgb="FFFFB985"/>
        <color rgb="FFFF0000"/>
      </colorScale>
    </cfRule>
  </conditionalFormatting>
  <dataValidations disablePrompts="1" count="1">
    <dataValidation type="list" allowBlank="1" showInputMessage="1" showErrorMessage="1" sqref="A2:A30 L2:L8">
      <formula1>ItemIDs</formula1>
    </dataValidation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13.7109375" bestFit="1" customWidth="1"/>
    <col min="3" max="4" width="11" customWidth="1"/>
    <col min="5" max="5" width="22.5703125" customWidth="1"/>
    <col min="6" max="6" width="9.7109375" customWidth="1"/>
  </cols>
  <sheetData>
    <row r="1" spans="1:6" x14ac:dyDescent="0.25">
      <c r="A1" t="s">
        <v>72</v>
      </c>
      <c r="B1" t="s">
        <v>1</v>
      </c>
      <c r="C1" t="s">
        <v>73</v>
      </c>
      <c r="E1" s="8" t="s">
        <v>1</v>
      </c>
      <c r="F1" t="s">
        <v>75</v>
      </c>
    </row>
    <row r="2" spans="1:6" x14ac:dyDescent="0.25">
      <c r="A2" t="str">
        <f>IF(OR(ISBLANK(Analysis[[#This Row],[ItemID]]), Analysis[[#This Row],[ItemID]]="", Analysis[[#This Row],[ItemID]]=0), "", Analysis[[#This Row],[ItemID]])</f>
        <v>Battery Pack</v>
      </c>
      <c r="B2" t="str">
        <f>IF(OR(ISBLANK(Costs[[#This Row],[Item]]), Costs[[#This Row],[Item]]="", Costs[[#This Row],[Item]]=0), "", VLOOKUP(Analysis[[#This Row],[ItemID]], Analysis[], COLUMN(Analysis[ComponentID])-COLUMN(Analysis[])+1, FALSE))</f>
        <v>LiPo</v>
      </c>
      <c r="C2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  <c r="E2" s="9"/>
      <c r="F2" s="3">
        <v>0</v>
      </c>
    </row>
    <row r="3" spans="1:6" x14ac:dyDescent="0.25">
      <c r="A3" t="str">
        <f>IF(OR(ISBLANK(Analysis[[#This Row],[ItemID]]), Analysis[[#This Row],[ItemID]]="", Analysis[[#This Row],[ItemID]]=0), "", Analysis[[#This Row],[ItemID]])</f>
        <v>Logic Supply</v>
      </c>
      <c r="B3" t="str">
        <f>IF(OR(ISBLANK(Costs[[#This Row],[Item]]), Costs[[#This Row],[Item]]="", Costs[[#This Row],[Item]]=0), "", VLOOKUP(Analysis[[#This Row],[ItemID]], Analysis[], COLUMN(Analysis[ComponentID])-COLUMN(Analysis[])+1, FALSE))</f>
        <v>5V Regulator</v>
      </c>
      <c r="C3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  <c r="E3" s="9" t="s">
        <v>66</v>
      </c>
      <c r="F3" s="3">
        <v>60</v>
      </c>
    </row>
    <row r="4" spans="1:6" x14ac:dyDescent="0.25">
      <c r="A4" t="str">
        <f>IF(OR(ISBLANK(Analysis[[#This Row],[ItemID]]), Analysis[[#This Row],[ItemID]]="", Analysis[[#This Row],[ItemID]]=0), "", Analysis[[#This Row],[ItemID]])</f>
        <v>Master Control</v>
      </c>
      <c r="B4" t="str">
        <f>IF(OR(ISBLANK(Costs[[#This Row],[Item]]), Costs[[#This Row],[Item]]="", Costs[[#This Row],[Item]]=0), "", VLOOKUP(Analysis[[#This Row],[ItemID]], Analysis[], COLUMN(Analysis[ComponentID])-COLUMN(Analysis[])+1, FALSE))</f>
        <v>Raspberry Pi</v>
      </c>
      <c r="C4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30</v>
      </c>
      <c r="E4" s="9" t="s">
        <v>42</v>
      </c>
      <c r="F4" s="3">
        <v>0</v>
      </c>
    </row>
    <row r="5" spans="1:6" x14ac:dyDescent="0.25">
      <c r="A5" t="str">
        <f>IF(OR(ISBLANK(Analysis[[#This Row],[ItemID]]), Analysis[[#This Row],[ItemID]]="", Analysis[[#This Row],[ItemID]]=0), "", Analysis[[#This Row],[ItemID]])</f>
        <v>Comms Power</v>
      </c>
      <c r="B5" t="str">
        <f>IF(OR(ISBLANK(Costs[[#This Row],[Item]]), Costs[[#This Row],[Item]]="", Costs[[#This Row],[Item]]=0), "", VLOOKUP(Analysis[[#This Row],[ItemID]], Analysis[], COLUMN(Analysis[ComponentID])-COLUMN(Analysis[])+1, FALSE))</f>
        <v>POE Injector</v>
      </c>
      <c r="C5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  <c r="E5" s="9" t="s">
        <v>67</v>
      </c>
      <c r="F5" s="3">
        <v>100</v>
      </c>
    </row>
    <row r="6" spans="1:6" x14ac:dyDescent="0.25">
      <c r="A6" t="str">
        <f>IF(OR(ISBLANK(Analysis[[#This Row],[ItemID]]), Analysis[[#This Row],[ItemID]]="", Analysis[[#This Row],[ItemID]]=0), "", Analysis[[#This Row],[ItemID]])</f>
        <v>Transceiver</v>
      </c>
      <c r="B6" t="str">
        <f>IF(OR(ISBLANK(Costs[[#This Row],[Item]]), Costs[[#This Row],[Item]]="", Costs[[#This Row],[Item]]=0), "", VLOOKUP(Analysis[[#This Row],[ItemID]], Analysis[], COLUMN(Analysis[ComponentID])-COLUMN(Analysis[])+1, FALSE))</f>
        <v>RM3</v>
      </c>
      <c r="C6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180</v>
      </c>
      <c r="E6" s="9" t="s">
        <v>55</v>
      </c>
      <c r="F6" s="3">
        <v>150</v>
      </c>
    </row>
    <row r="7" spans="1:6" x14ac:dyDescent="0.25">
      <c r="A7" t="str">
        <f>IF(OR(ISBLANK(Analysis[[#This Row],[ItemID]]), Analysis[[#This Row],[ItemID]]="", Analysis[[#This Row],[ItemID]]=0), "", Analysis[[#This Row],[ItemID]])</f>
        <v>Antenna</v>
      </c>
      <c r="B7" t="str">
        <f>IF(OR(ISBLANK(Costs[[#This Row],[Item]]), Costs[[#This Row],[Item]]="", Costs[[#This Row],[Item]]=0), "", VLOOKUP(Analysis[[#This Row],[ItemID]], Analysis[], COLUMN(Analysis[ComponentID])-COLUMN(Analysis[])+1, FALSE))</f>
        <v>3GHz Antenna</v>
      </c>
      <c r="C7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150</v>
      </c>
      <c r="E7" s="9" t="s">
        <v>33</v>
      </c>
      <c r="F7" s="3">
        <v>0</v>
      </c>
    </row>
    <row r="8" spans="1:6" x14ac:dyDescent="0.25">
      <c r="A8" s="1" t="str">
        <f>IF(OR(ISBLANK(Analysis[[#This Row],[ItemID]]), Analysis[[#This Row],[ItemID]]="", Analysis[[#This Row],[ItemID]]=0), "", Analysis[[#This Row],[ItemID]])</f>
        <v>Dirty Power</v>
      </c>
      <c r="B8" t="str">
        <f>IF(OR(ISBLANK(Costs[[#This Row],[Item]]), Costs[[#This Row],[Item]]="", Costs[[#This Row],[Item]]=0), "", VLOOKUP(Analysis[[#This Row],[ItemID]], Analysis[], COLUMN(Analysis[ComponentID])-COLUMN(Analysis[])+1, FALSE))</f>
        <v>12V Regulator</v>
      </c>
      <c r="C8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  <c r="E8" s="9" t="s">
        <v>10</v>
      </c>
      <c r="F8" s="3">
        <v>0</v>
      </c>
    </row>
    <row r="9" spans="1:6" x14ac:dyDescent="0.25">
      <c r="A9" s="1" t="str">
        <f>IF(OR(ISBLANK(Analysis[[#This Row],[ItemID]]), Analysis[[#This Row],[ItemID]]="", Analysis[[#This Row],[ItemID]]=0), "", Analysis[[#This Row],[ItemID]])</f>
        <v>FrontRight ESC</v>
      </c>
      <c r="B9" t="str">
        <f>IF(OR(ISBLANK(Costs[[#This Row],[Item]]), Costs[[#This Row],[Item]]="", Costs[[#This Row],[Item]]=0), "", VLOOKUP(Analysis[[#This Row],[ItemID]], Analysis[], COLUMN(Analysis[ComponentID])-COLUMN(Analysis[])+1, FALSE))</f>
        <v>VEX ESC</v>
      </c>
      <c r="C9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60</v>
      </c>
      <c r="E9" s="9" t="s">
        <v>47</v>
      </c>
      <c r="F9" s="3">
        <v>0</v>
      </c>
    </row>
    <row r="10" spans="1:6" x14ac:dyDescent="0.25">
      <c r="A10" s="1" t="str">
        <f>IF(OR(ISBLANK(Analysis[[#This Row],[ItemID]]), Analysis[[#This Row],[ItemID]]="", Analysis[[#This Row],[ItemID]]=0), "", Analysis[[#This Row],[ItemID]])</f>
        <v>FrontRight Motor</v>
      </c>
      <c r="B10" t="str">
        <f>IF(OR(ISBLANK(Costs[[#This Row],[Item]]), Costs[[#This Row],[Item]]="", Costs[[#This Row],[Item]]=0), "", VLOOKUP(Analysis[[#This Row],[ItemID]], Analysis[], COLUMN(Analysis[ComponentID])-COLUMN(Analysis[])+1, FALSE))</f>
        <v>Wheel Motor</v>
      </c>
      <c r="C10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7.25</v>
      </c>
      <c r="E10" s="9" t="s">
        <v>35</v>
      </c>
      <c r="F10" s="3">
        <v>30</v>
      </c>
    </row>
    <row r="11" spans="1:6" x14ac:dyDescent="0.25">
      <c r="A11" s="1" t="str">
        <f>IF(OR(ISBLANK(Analysis[[#This Row],[ItemID]]), Analysis[[#This Row],[ItemID]]="", Analysis[[#This Row],[ItemID]]=0), "", Analysis[[#This Row],[ItemID]])</f>
        <v>MidRight ESC</v>
      </c>
      <c r="B11" t="str">
        <f>IF(OR(ISBLANK(Costs[[#This Row],[Item]]), Costs[[#This Row],[Item]]="", Costs[[#This Row],[Item]]=0), "", VLOOKUP(Analysis[[#This Row],[ItemID]], Analysis[], COLUMN(Analysis[ComponentID])-COLUMN(Analysis[])+1, FALSE))</f>
        <v>VEX ESC</v>
      </c>
      <c r="C11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60</v>
      </c>
      <c r="E11" s="9" t="s">
        <v>52</v>
      </c>
      <c r="F11" s="3">
        <v>180</v>
      </c>
    </row>
    <row r="12" spans="1:6" x14ac:dyDescent="0.25">
      <c r="A12" s="1" t="str">
        <f>IF(OR(ISBLANK(Analysis[[#This Row],[ItemID]]), Analysis[[#This Row],[ItemID]]="", Analysis[[#This Row],[ItemID]]=0), "", Analysis[[#This Row],[ItemID]])</f>
        <v>MidRight Motor</v>
      </c>
      <c r="B12" t="str">
        <f>IF(OR(ISBLANK(Costs[[#This Row],[Item]]), Costs[[#This Row],[Item]]="", Costs[[#This Row],[Item]]=0), "", VLOOKUP(Analysis[[#This Row],[ItemID]], Analysis[], COLUMN(Analysis[ComponentID])-COLUMN(Analysis[])+1, FALSE))</f>
        <v>Wheel Motor</v>
      </c>
      <c r="C12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7.25</v>
      </c>
      <c r="E12" s="9" t="s">
        <v>9</v>
      </c>
      <c r="F12" s="3">
        <v>360</v>
      </c>
    </row>
    <row r="13" spans="1:6" x14ac:dyDescent="0.25">
      <c r="A13" s="1" t="str">
        <f>IF(OR(ISBLANK(Analysis[[#This Row],[ItemID]]), Analysis[[#This Row],[ItemID]]="", Analysis[[#This Row],[ItemID]]=0), "", Analysis[[#This Row],[ItemID]])</f>
        <v>BackRight ESC</v>
      </c>
      <c r="B13" t="str">
        <f>IF(OR(ISBLANK(Costs[[#This Row],[Item]]), Costs[[#This Row],[Item]]="", Costs[[#This Row],[Item]]=0), "", VLOOKUP(Analysis[[#This Row],[ItemID]], Analysis[], COLUMN(Analysis[ComponentID])-COLUMN(Analysis[])+1, FALSE))</f>
        <v>VEX ESC</v>
      </c>
      <c r="C13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60</v>
      </c>
      <c r="E13" s="9" t="s">
        <v>61</v>
      </c>
      <c r="F13" s="3">
        <v>43.5</v>
      </c>
    </row>
    <row r="14" spans="1:6" x14ac:dyDescent="0.25">
      <c r="A14" s="1" t="str">
        <f>IF(OR(ISBLANK(Analysis[[#This Row],[ItemID]]), Analysis[[#This Row],[ItemID]]="", Analysis[[#This Row],[ItemID]]=0), "", Analysis[[#This Row],[ItemID]])</f>
        <v>BackRight Motor</v>
      </c>
      <c r="B14" t="str">
        <f>IF(OR(ISBLANK(Costs[[#This Row],[Item]]), Costs[[#This Row],[Item]]="", Costs[[#This Row],[Item]]=0), "", VLOOKUP(Analysis[[#This Row],[ItemID]], Analysis[], COLUMN(Analysis[ComponentID])-COLUMN(Analysis[])+1, FALSE))</f>
        <v>Wheel Motor</v>
      </c>
      <c r="C14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7.25</v>
      </c>
      <c r="E14" s="9" t="s">
        <v>74</v>
      </c>
      <c r="F14" s="3">
        <v>923.5</v>
      </c>
    </row>
    <row r="15" spans="1:6" x14ac:dyDescent="0.25">
      <c r="A15" s="1" t="str">
        <f>IF(OR(ISBLANK(Analysis[[#This Row],[ItemID]]), Analysis[[#This Row],[ItemID]]="", Analysis[[#This Row],[ItemID]]=0), "", Analysis[[#This Row],[ItemID]])</f>
        <v>FrontLeft ESC</v>
      </c>
      <c r="B15" t="str">
        <f>IF(OR(ISBLANK(Costs[[#This Row],[Item]]), Costs[[#This Row],[Item]]="", Costs[[#This Row],[Item]]=0), "", VLOOKUP(Analysis[[#This Row],[ItemID]], Analysis[], COLUMN(Analysis[ComponentID])-COLUMN(Analysis[])+1, FALSE))</f>
        <v>VEX ESC</v>
      </c>
      <c r="C15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60</v>
      </c>
    </row>
    <row r="16" spans="1:6" x14ac:dyDescent="0.25">
      <c r="A16" s="1" t="str">
        <f>IF(OR(ISBLANK(Analysis[[#This Row],[ItemID]]), Analysis[[#This Row],[ItemID]]="", Analysis[[#This Row],[ItemID]]=0), "", Analysis[[#This Row],[ItemID]])</f>
        <v>FrontLeft Motor</v>
      </c>
      <c r="B16" t="str">
        <f>IF(OR(ISBLANK(Costs[[#This Row],[Item]]), Costs[[#This Row],[Item]]="", Costs[[#This Row],[Item]]=0), "", VLOOKUP(Analysis[[#This Row],[ItemID]], Analysis[], COLUMN(Analysis[ComponentID])-COLUMN(Analysis[])+1, FALSE))</f>
        <v>Wheel Motor</v>
      </c>
      <c r="C16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MidLeft ESC</v>
      </c>
      <c r="B17" t="str">
        <f>IF(OR(ISBLANK(Costs[[#This Row],[Item]]), Costs[[#This Row],[Item]]="", Costs[[#This Row],[Item]]=0), "", VLOOKUP(Analysis[[#This Row],[ItemID]], Analysis[], COLUMN(Analysis[ComponentID])-COLUMN(Analysis[])+1, FALSE))</f>
        <v>VEX ESC</v>
      </c>
      <c r="C17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60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MidLeft Motor</v>
      </c>
      <c r="B18" t="str">
        <f>IF(OR(ISBLANK(Costs[[#This Row],[Item]]), Costs[[#This Row],[Item]]="", Costs[[#This Row],[Item]]=0), "", VLOOKUP(Analysis[[#This Row],[ItemID]], Analysis[], COLUMN(Analysis[ComponentID])-COLUMN(Analysis[])+1, FALSE))</f>
        <v>Wheel Motor</v>
      </c>
      <c r="C18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BackLeft ESC</v>
      </c>
      <c r="B19" t="str">
        <f>IF(OR(ISBLANK(Costs[[#This Row],[Item]]), Costs[[#This Row],[Item]]="", Costs[[#This Row],[Item]]=0), "", VLOOKUP(Analysis[[#This Row],[ItemID]], Analysis[], COLUMN(Analysis[ComponentID])-COLUMN(Analysis[])+1, FALSE))</f>
        <v>VEX ESC</v>
      </c>
      <c r="C19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60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BackLeft Motor</v>
      </c>
      <c r="B20" t="str">
        <f>IF(OR(ISBLANK(Costs[[#This Row],[Item]]), Costs[[#This Row],[Item]]="", Costs[[#This Row],[Item]]=0), "", VLOOKUP(Analysis[[#This Row],[ItemID]], Analysis[], COLUMN(Analysis[ComponentID])-COLUMN(Analysis[])+1, FALSE))</f>
        <v>Wheel Motor</v>
      </c>
      <c r="C20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Shoulder Motor</v>
      </c>
      <c r="B21" t="str">
        <f>IF(OR(ISBLANK(Costs[[#This Row],[Item]]), Costs[[#This Row],[Item]]="", Costs[[#This Row],[Item]]=0), "", VLOOKUP(Analysis[[#This Row],[ItemID]], Analysis[], COLUMN(Analysis[ComponentID])-COLUMN(Analysis[])+1, FALSE))</f>
        <v>12RPM Motor</v>
      </c>
      <c r="C21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60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Base Motor</v>
      </c>
      <c r="B22" t="str">
        <f>IF(OR(ISBLANK(Costs[[#This Row],[Item]]), Costs[[#This Row],[Item]]="", Costs[[#This Row],[Item]]=0), "", VLOOKUP(Analysis[[#This Row],[ItemID]], Analysis[], COLUMN(Analysis[ComponentID])-COLUMN(Analysis[])+1, FALSE))</f>
        <v>26RPM Motor</v>
      </c>
      <c r="C22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50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Upper Limb Motor</v>
      </c>
      <c r="B23" t="str">
        <f>IF(OR(ISBLANK(Costs[[#This Row],[Item]]), Costs[[#This Row],[Item]]="", Costs[[#This Row],[Item]]=0), "", VLOOKUP(Analysis[[#This Row],[ItemID]], Analysis[], COLUMN(Analysis[ComponentID])-COLUMN(Analysis[])+1, FALSE))</f>
        <v>26RPM Motor</v>
      </c>
      <c r="C23" s="3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>50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/>
      </c>
      <c r="B24" t="str">
        <f>IF(OR(ISBLANK(Costs[[#This Row],[Item]]), Costs[[#This Row],[Item]]="", Costs[[#This Row],[Item]]=0), "", VLOOKUP(Analysis[[#This Row],[ItemID]], Analysis[], COLUMN(Analysis[ComponentID])-COLUMN(Analysis[])+1, FALSE))</f>
        <v/>
      </c>
      <c r="C24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/>
      </c>
      <c r="B25" t="str">
        <f>IF(OR(ISBLANK(Costs[[#This Row],[Item]]), Costs[[#This Row],[Item]]="", Costs[[#This Row],[Item]]=0), "", VLOOKUP(Analysis[[#This Row],[ItemID]], Analysis[], COLUMN(Analysis[ComponentID])-COLUMN(Analysis[])+1, FALSE))</f>
        <v/>
      </c>
      <c r="C25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/>
      </c>
      <c r="B26" t="str">
        <f>IF(OR(ISBLANK(Costs[[#This Row],[Item]]), Costs[[#This Row],[Item]]="", Costs[[#This Row],[Item]]=0), "", VLOOKUP(Analysis[[#This Row],[ItemID]], Analysis[], COLUMN(Analysis[ComponentID])-COLUMN(Analysis[])+1, FALSE))</f>
        <v/>
      </c>
      <c r="C26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/>
      </c>
      <c r="B27" t="str">
        <f>IF(OR(ISBLANK(Costs[[#This Row],[Item]]), Costs[[#This Row],[Item]]="", Costs[[#This Row],[Item]]=0), "", VLOOKUP(Analysis[[#This Row],[ItemID]], Analysis[], COLUMN(Analysis[ComponentID])-COLUMN(Analysis[])+1, FALSE))</f>
        <v/>
      </c>
      <c r="C27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/>
      </c>
      <c r="B28" t="str">
        <f>IF(OR(ISBLANK(Costs[[#This Row],[Item]]), Costs[[#This Row],[Item]]="", Costs[[#This Row],[Item]]=0), "", VLOOKUP(Analysis[[#This Row],[ItemID]], Analysis[], COLUMN(Analysis[ComponentID])-COLUMN(Analysis[])+1, FALSE))</f>
        <v/>
      </c>
      <c r="C28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t="str">
        <f>IF(OR(ISBLANK(Costs[[#This Row],[Item]]), Costs[[#This Row],[Item]]="", Costs[[#This Row],[Item]]=0), "", VLOOKUP(Analysis[[#This Row],[ItemID]], Analysis[], COLUMN(Analysis[ComponentID])-COLUMN(Analysis[])+1, FALSE))</f>
        <v/>
      </c>
      <c r="C29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t="str">
        <f>IF(OR(ISBLANK(Costs[[#This Row],[Item]]), Costs[[#This Row],[Item]]="", Costs[[#This Row],[Item]]=0), "", VLOOKUP(Analysis[[#This Row],[ItemID]], Analysis[], COLUMN(Analysis[ComponentID])-COLUMN(Analysis[])+1, FALSE))</f>
        <v/>
      </c>
      <c r="C30" s="3" t="str">
        <f>IF(OR(ISBLANK(Costs[[#This Row],[Item]]), Costs[[#This Row],[Item]]="", Costs[[#This Row],[Item]]=0, ISBLANK(Costs[[#This Row],[Component]]), Costs[[#This Row],[Component]]="", Costs[[#This Row],[Component]]=0), "", IF(ISNUMBER(VLOOKUP(Costs[[#This Row],[Component]], ComponentData[], COLUMN(ComponentData[Price])-COLUMN(ComponentData[])+1, FALSE)), VLOOKUP(Costs[[#This Row],[Component]], ComponentData[], COLUMN(ComponentData[Price])-COLUMN(ComponentData[])+1, FALSE), ""))</f>
        <v/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Component Data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Talbert, James</cp:lastModifiedBy>
  <dcterms:created xsi:type="dcterms:W3CDTF">2017-07-13T19:20:27Z</dcterms:created>
  <dcterms:modified xsi:type="dcterms:W3CDTF">2017-08-08T18:43:27Z</dcterms:modified>
</cp:coreProperties>
</file>